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K:\Mitarbeitende\FRR\laufende Arbeiten\Berechnungsblatt\"/>
    </mc:Choice>
  </mc:AlternateContent>
  <xr:revisionPtr revIDLastSave="0" documentId="13_ncr:1_{024CEEE2-FEB0-4FAA-AFB2-9E7106E31C7C}" xr6:coauthVersionLast="47" xr6:coauthVersionMax="47" xr10:uidLastSave="{00000000-0000-0000-0000-000000000000}"/>
  <bookViews>
    <workbookView xWindow="-38400" yWindow="10770" windowWidth="43200" windowHeight="23040" xr2:uid="{2F796766-47D1-48D6-B092-F43F945DAD2C}"/>
  </bookViews>
  <sheets>
    <sheet name="Januar 2025" sheetId="11" r:id="rId1"/>
    <sheet name="Beispiel" sheetId="10" r:id="rId2"/>
  </sheets>
  <definedNames>
    <definedName name="_xlnm.Print_Area" localSheetId="1">Beispiel!$F$4:$G$6</definedName>
    <definedName name="_xlnm.Print_Area" localSheetId="0">'Januar 2025'!$A$1:$G$179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1" l="1"/>
  <c r="G8" i="11"/>
  <c r="A95" i="11"/>
  <c r="N192" i="11" l="1"/>
  <c r="N191" i="11"/>
  <c r="N190" i="11"/>
  <c r="N189" i="11"/>
  <c r="N188" i="11"/>
  <c r="N187" i="11"/>
  <c r="N186" i="11"/>
  <c r="N185" i="11"/>
  <c r="E184" i="11"/>
  <c r="B179" i="11"/>
  <c r="B174" i="11"/>
  <c r="B172" i="11"/>
  <c r="B171" i="11"/>
  <c r="B170" i="11"/>
  <c r="F149" i="11"/>
  <c r="A149" i="11"/>
  <c r="F148" i="11"/>
  <c r="A148" i="11"/>
  <c r="F147" i="11"/>
  <c r="A147" i="11"/>
  <c r="F146" i="11"/>
  <c r="A146" i="11"/>
  <c r="F145" i="11"/>
  <c r="A145" i="11"/>
  <c r="A143" i="11"/>
  <c r="F142" i="11"/>
  <c r="D142" i="11"/>
  <c r="A142" i="11"/>
  <c r="F141" i="11"/>
  <c r="D141" i="11"/>
  <c r="A141" i="11"/>
  <c r="F140" i="11"/>
  <c r="D140" i="11"/>
  <c r="A140" i="11"/>
  <c r="D139" i="11"/>
  <c r="F129" i="11"/>
  <c r="S128" i="11"/>
  <c r="Q126" i="11"/>
  <c r="P126" i="11"/>
  <c r="T124" i="11" s="1"/>
  <c r="F126" i="11"/>
  <c r="Q125" i="11"/>
  <c r="P125" i="11"/>
  <c r="O125" i="11"/>
  <c r="O126" i="11" s="1"/>
  <c r="S124" i="11" s="1"/>
  <c r="N125" i="11"/>
  <c r="B63" i="11" s="1"/>
  <c r="U124" i="11"/>
  <c r="F121" i="11"/>
  <c r="O159" i="11" s="1"/>
  <c r="E113" i="11"/>
  <c r="D113" i="11"/>
  <c r="B113" i="11"/>
  <c r="A113" i="11"/>
  <c r="E112" i="11"/>
  <c r="D112" i="11"/>
  <c r="O191" i="11" s="1"/>
  <c r="A191" i="11" s="1"/>
  <c r="B112" i="11"/>
  <c r="A112" i="11"/>
  <c r="E111" i="11"/>
  <c r="D111" i="11"/>
  <c r="O190" i="11" s="1"/>
  <c r="A190" i="11" s="1"/>
  <c r="B111" i="11"/>
  <c r="A111" i="11"/>
  <c r="E110" i="11"/>
  <c r="D110" i="11"/>
  <c r="B110" i="11"/>
  <c r="A110" i="11"/>
  <c r="E109" i="11"/>
  <c r="D109" i="11"/>
  <c r="B109" i="11"/>
  <c r="A109" i="11"/>
  <c r="E108" i="11"/>
  <c r="D108" i="11"/>
  <c r="B108" i="11"/>
  <c r="A108" i="11"/>
  <c r="B107" i="11"/>
  <c r="A107" i="11"/>
  <c r="B106" i="11"/>
  <c r="A106" i="11"/>
  <c r="F100" i="11"/>
  <c r="F98" i="11"/>
  <c r="C98" i="11"/>
  <c r="F97" i="11"/>
  <c r="C97" i="11"/>
  <c r="G75" i="11"/>
  <c r="N74" i="11"/>
  <c r="B74" i="11"/>
  <c r="O73" i="11"/>
  <c r="N73" i="11"/>
  <c r="B73" i="11"/>
  <c r="O72" i="11"/>
  <c r="N72" i="11"/>
  <c r="A133" i="11" s="1"/>
  <c r="B72" i="11"/>
  <c r="N68" i="11"/>
  <c r="A144" i="11" s="1"/>
  <c r="C64" i="11"/>
  <c r="C63" i="11"/>
  <c r="Q62" i="11"/>
  <c r="N62" i="11"/>
  <c r="R61" i="11"/>
  <c r="Q61" i="11"/>
  <c r="O61" i="11"/>
  <c r="N61" i="11"/>
  <c r="R60" i="11"/>
  <c r="Q60" i="11"/>
  <c r="O60" i="11"/>
  <c r="N60" i="11"/>
  <c r="R59" i="11"/>
  <c r="Q59" i="11"/>
  <c r="O59" i="11"/>
  <c r="N59" i="11"/>
  <c r="R58" i="11"/>
  <c r="Q58" i="11"/>
  <c r="O58" i="11"/>
  <c r="N58" i="11"/>
  <c r="R57" i="11"/>
  <c r="Q57" i="11"/>
  <c r="O57" i="11"/>
  <c r="N57" i="11"/>
  <c r="R56" i="11"/>
  <c r="Q56" i="11"/>
  <c r="A130" i="11" s="1"/>
  <c r="O56" i="11"/>
  <c r="N56" i="11"/>
  <c r="O55" i="11"/>
  <c r="N55" i="11"/>
  <c r="F52" i="11"/>
  <c r="E52" i="11"/>
  <c r="P44" i="11" s="1"/>
  <c r="D52" i="11"/>
  <c r="C52" i="11"/>
  <c r="N51" i="11"/>
  <c r="O51" i="11" s="1"/>
  <c r="G51" i="11"/>
  <c r="N50" i="11"/>
  <c r="O50" i="11" s="1"/>
  <c r="G50" i="11"/>
  <c r="X49" i="11"/>
  <c r="Z49" i="11" s="1"/>
  <c r="N49" i="11"/>
  <c r="O49" i="11" s="1"/>
  <c r="G49" i="11"/>
  <c r="X48" i="11"/>
  <c r="Z48" i="11" s="1"/>
  <c r="N48" i="11"/>
  <c r="O48" i="11" s="1"/>
  <c r="G48" i="11"/>
  <c r="X47" i="11"/>
  <c r="Z47" i="11" s="1"/>
  <c r="W47" i="11"/>
  <c r="Y47" i="11" s="1"/>
  <c r="N47" i="11"/>
  <c r="O47" i="11" s="1"/>
  <c r="L47" i="11"/>
  <c r="G47" i="11"/>
  <c r="E142" i="11" s="1"/>
  <c r="X46" i="11"/>
  <c r="Z46" i="11" s="1"/>
  <c r="W46" i="11"/>
  <c r="Y46" i="11" s="1"/>
  <c r="N46" i="11"/>
  <c r="O46" i="11" s="1"/>
  <c r="L46" i="11"/>
  <c r="G46" i="11"/>
  <c r="E141" i="11" s="1"/>
  <c r="Z45" i="11"/>
  <c r="AA45" i="11" s="1"/>
  <c r="AB45" i="11" s="1"/>
  <c r="Y45" i="11"/>
  <c r="X45" i="11"/>
  <c r="W45" i="11"/>
  <c r="N45" i="11"/>
  <c r="O45" i="11" s="1"/>
  <c r="L45" i="11"/>
  <c r="G45" i="11"/>
  <c r="E140" i="11" s="1"/>
  <c r="X44" i="11"/>
  <c r="Z44" i="11" s="1"/>
  <c r="W44" i="11"/>
  <c r="Y44" i="11" s="1"/>
  <c r="U44" i="11"/>
  <c r="T44" i="11"/>
  <c r="S44" i="11"/>
  <c r="N44" i="11"/>
  <c r="L44" i="11"/>
  <c r="E42" i="11"/>
  <c r="B41" i="11"/>
  <c r="Q40" i="11"/>
  <c r="R40" i="11" s="1"/>
  <c r="C40" i="11"/>
  <c r="N40" i="11" s="1"/>
  <c r="A40" i="11"/>
  <c r="Q39" i="11"/>
  <c r="R39" i="11" s="1"/>
  <c r="O39" i="11"/>
  <c r="N39" i="11"/>
  <c r="C39" i="11"/>
  <c r="A39" i="11"/>
  <c r="Q38" i="11"/>
  <c r="R38" i="11" s="1"/>
  <c r="O38" i="11"/>
  <c r="C38" i="11"/>
  <c r="N38" i="11" s="1"/>
  <c r="C37" i="11"/>
  <c r="N37" i="11" s="1"/>
  <c r="Q36" i="11"/>
  <c r="R36" i="11" s="1"/>
  <c r="F113" i="11" s="1"/>
  <c r="O36" i="11"/>
  <c r="A36" i="11"/>
  <c r="A62" i="11" s="1"/>
  <c r="Q35" i="11"/>
  <c r="R35" i="11" s="1"/>
  <c r="F112" i="11" s="1"/>
  <c r="A35" i="11"/>
  <c r="A50" i="11" s="1"/>
  <c r="V34" i="11"/>
  <c r="T34" i="11"/>
  <c r="Q34" i="11"/>
  <c r="R34" i="11" s="1"/>
  <c r="F111" i="11" s="1"/>
  <c r="A34" i="11"/>
  <c r="A49" i="11" s="1"/>
  <c r="A60" i="11" s="1"/>
  <c r="V33" i="11"/>
  <c r="T33" i="11"/>
  <c r="Q33" i="11"/>
  <c r="R33" i="11" s="1"/>
  <c r="F110" i="11" s="1"/>
  <c r="A33" i="11"/>
  <c r="A48" i="11" s="1"/>
  <c r="A59" i="11" s="1"/>
  <c r="V32" i="11"/>
  <c r="T32" i="11" s="1"/>
  <c r="Q32" i="11"/>
  <c r="R32" i="11" s="1"/>
  <c r="F109" i="11" s="1"/>
  <c r="A32" i="11"/>
  <c r="Q124" i="11" s="1"/>
  <c r="V31" i="11"/>
  <c r="T31" i="11" s="1"/>
  <c r="Q31" i="11"/>
  <c r="R31" i="11" s="1"/>
  <c r="F108" i="11" s="1"/>
  <c r="F31" i="11"/>
  <c r="A31" i="11"/>
  <c r="A46" i="11" s="1"/>
  <c r="A57" i="11" s="1"/>
  <c r="V30" i="11"/>
  <c r="T30" i="11"/>
  <c r="Q30" i="11"/>
  <c r="R30" i="11" s="1"/>
  <c r="F107" i="11" s="1"/>
  <c r="A30" i="11"/>
  <c r="O124" i="11" s="1"/>
  <c r="V29" i="11"/>
  <c r="T29" i="11" s="1"/>
  <c r="A29" i="11"/>
  <c r="A44" i="11" s="1"/>
  <c r="A55" i="11" s="1"/>
  <c r="BB24" i="11"/>
  <c r="BB20" i="11"/>
  <c r="E20" i="11"/>
  <c r="BE19" i="11"/>
  <c r="BB19" i="11"/>
  <c r="BC19" i="11" s="1"/>
  <c r="BD19" i="11" s="1"/>
  <c r="BF19" i="11" s="1"/>
  <c r="B19" i="11"/>
  <c r="C99" i="11" s="1"/>
  <c r="BE18" i="11"/>
  <c r="BB18" i="11"/>
  <c r="BC18" i="11" s="1"/>
  <c r="BD18" i="11" s="1"/>
  <c r="BF18" i="11" s="1"/>
  <c r="BE17" i="11"/>
  <c r="BB17" i="11"/>
  <c r="BC17" i="11" s="1"/>
  <c r="BD17" i="11" s="1"/>
  <c r="BF17" i="11" s="1"/>
  <c r="O17" i="11"/>
  <c r="N17" i="11"/>
  <c r="M155" i="11" s="1"/>
  <c r="BE16" i="11"/>
  <c r="BC16" i="11"/>
  <c r="BD16" i="11" s="1"/>
  <c r="BF16" i="11" s="1"/>
  <c r="BB16" i="11"/>
  <c r="AM16" i="11"/>
  <c r="AL16" i="11"/>
  <c r="AK16" i="11"/>
  <c r="AJ16" i="11"/>
  <c r="AI16" i="11"/>
  <c r="AF16" i="11"/>
  <c r="M16" i="11"/>
  <c r="E41" i="11" s="1"/>
  <c r="F30" i="11" s="1"/>
  <c r="F32" i="11" s="1"/>
  <c r="C16" i="11"/>
  <c r="Q37" i="11" s="1"/>
  <c r="R37" i="11" s="1"/>
  <c r="BE15" i="11"/>
  <c r="BB15" i="11"/>
  <c r="BC15" i="11" s="1"/>
  <c r="BD15" i="11" s="1"/>
  <c r="BF15" i="11" s="1"/>
  <c r="AJ15" i="11"/>
  <c r="AI15" i="11"/>
  <c r="Y15" i="11"/>
  <c r="U15" i="11"/>
  <c r="T15" i="11"/>
  <c r="W15" i="11" s="1"/>
  <c r="F15" i="11"/>
  <c r="P192" i="11" s="1"/>
  <c r="BE14" i="11"/>
  <c r="BB14" i="11"/>
  <c r="BC14" i="11" s="1"/>
  <c r="BD14" i="11" s="1"/>
  <c r="BF14" i="11" s="1"/>
  <c r="AM14" i="11"/>
  <c r="AL14" i="11"/>
  <c r="AJ14" i="11"/>
  <c r="AI14" i="11"/>
  <c r="AK14" i="11" s="1"/>
  <c r="U14" i="11"/>
  <c r="T14" i="11"/>
  <c r="W14" i="11" s="1"/>
  <c r="L14" i="11"/>
  <c r="F14" i="11"/>
  <c r="P191" i="11" s="1"/>
  <c r="BE13" i="11"/>
  <c r="BB13" i="11"/>
  <c r="BC13" i="11" s="1"/>
  <c r="BD13" i="11" s="1"/>
  <c r="BF13" i="11" s="1"/>
  <c r="AK13" i="11"/>
  <c r="AJ13" i="11"/>
  <c r="AI13" i="11"/>
  <c r="AM13" i="11" s="1"/>
  <c r="AF13" i="11"/>
  <c r="W13" i="11"/>
  <c r="U13" i="11"/>
  <c r="T13" i="11"/>
  <c r="V13" i="11" s="1"/>
  <c r="L13" i="11"/>
  <c r="F13" i="11"/>
  <c r="P190" i="11" s="1"/>
  <c r="BE12" i="11"/>
  <c r="BB12" i="11"/>
  <c r="BC12" i="11" s="1"/>
  <c r="BD12" i="11" s="1"/>
  <c r="BF12" i="11" s="1"/>
  <c r="AM12" i="11"/>
  <c r="AL12" i="11"/>
  <c r="AK12" i="11"/>
  <c r="AJ12" i="11"/>
  <c r="AI12" i="11"/>
  <c r="AF12" i="11"/>
  <c r="U12" i="11"/>
  <c r="T12" i="11"/>
  <c r="V12" i="11" s="1"/>
  <c r="L12" i="11"/>
  <c r="F12" i="11"/>
  <c r="P189" i="11" s="1"/>
  <c r="AJ11" i="11"/>
  <c r="AL11" i="11" s="1"/>
  <c r="AI11" i="11"/>
  <c r="AF11" i="11"/>
  <c r="U11" i="11"/>
  <c r="T11" i="11"/>
  <c r="F11" i="11"/>
  <c r="P188" i="11" s="1"/>
  <c r="AJ10" i="11"/>
  <c r="AI10" i="11"/>
  <c r="AF10" i="11"/>
  <c r="U10" i="11"/>
  <c r="T10" i="11"/>
  <c r="V10" i="11" s="1"/>
  <c r="F10" i="11"/>
  <c r="P187" i="11" s="1"/>
  <c r="AJ9" i="11"/>
  <c r="AI9" i="11"/>
  <c r="U9" i="11"/>
  <c r="T9" i="11"/>
  <c r="F9" i="11"/>
  <c r="P186" i="11" s="1"/>
  <c r="AJ8" i="11"/>
  <c r="AI8" i="11"/>
  <c r="U8" i="11"/>
  <c r="T8" i="11"/>
  <c r="F8" i="11"/>
  <c r="L8" i="11" s="1"/>
  <c r="AJ5" i="11"/>
  <c r="AI5" i="11"/>
  <c r="AK5" i="11" s="1"/>
  <c r="A4" i="11"/>
  <c r="A94" i="11" s="1"/>
  <c r="A3" i="11"/>
  <c r="A93" i="11" s="1"/>
  <c r="B29" i="10"/>
  <c r="M192" i="10"/>
  <c r="M191" i="10"/>
  <c r="O190" i="10"/>
  <c r="N190" i="10"/>
  <c r="A190" i="10" s="1"/>
  <c r="M190" i="10"/>
  <c r="M189" i="10"/>
  <c r="M188" i="10"/>
  <c r="M187" i="10"/>
  <c r="M186" i="10"/>
  <c r="M185" i="10"/>
  <c r="E184" i="10"/>
  <c r="B179" i="10"/>
  <c r="B174" i="10"/>
  <c r="B172" i="10"/>
  <c r="B171" i="10"/>
  <c r="B170" i="10"/>
  <c r="L155" i="10"/>
  <c r="F149" i="10"/>
  <c r="A149" i="10"/>
  <c r="F148" i="10"/>
  <c r="A148" i="10"/>
  <c r="F147" i="10"/>
  <c r="A147" i="10"/>
  <c r="F146" i="10"/>
  <c r="A146" i="10"/>
  <c r="F145" i="10"/>
  <c r="A145" i="10"/>
  <c r="A143" i="10"/>
  <c r="F142" i="10"/>
  <c r="D142" i="10"/>
  <c r="A142" i="10"/>
  <c r="F141" i="10"/>
  <c r="E141" i="10"/>
  <c r="D141" i="10"/>
  <c r="A141" i="10"/>
  <c r="F140" i="10"/>
  <c r="D140" i="10"/>
  <c r="A140" i="10" s="1"/>
  <c r="D139" i="10"/>
  <c r="F129" i="10"/>
  <c r="R128" i="10"/>
  <c r="P126" i="10"/>
  <c r="T124" i="10" s="1"/>
  <c r="P125" i="10"/>
  <c r="O125" i="10"/>
  <c r="O126" i="10" s="1"/>
  <c r="S124" i="10" s="1"/>
  <c r="N125" i="10"/>
  <c r="N126" i="10" s="1"/>
  <c r="R124" i="10" s="1"/>
  <c r="M125" i="10"/>
  <c r="B63" i="10" s="1"/>
  <c r="F121" i="10"/>
  <c r="N159" i="10" s="1"/>
  <c r="E113" i="10"/>
  <c r="D113" i="10"/>
  <c r="B113" i="10"/>
  <c r="A113" i="10"/>
  <c r="E112" i="10"/>
  <c r="D112" i="10"/>
  <c r="B112" i="10"/>
  <c r="A112" i="10"/>
  <c r="E111" i="10"/>
  <c r="D111" i="10"/>
  <c r="B111" i="10"/>
  <c r="A111" i="10"/>
  <c r="E110" i="10"/>
  <c r="D110" i="10"/>
  <c r="B110" i="10"/>
  <c r="A110" i="10"/>
  <c r="E109" i="10"/>
  <c r="D109" i="10"/>
  <c r="B109" i="10"/>
  <c r="A109" i="10"/>
  <c r="E108" i="10"/>
  <c r="B108" i="10"/>
  <c r="A108" i="10"/>
  <c r="E107" i="10"/>
  <c r="B107" i="10"/>
  <c r="A107" i="10"/>
  <c r="B106" i="10"/>
  <c r="A106" i="10"/>
  <c r="F100" i="10"/>
  <c r="F98" i="10"/>
  <c r="C98" i="10"/>
  <c r="F97" i="10"/>
  <c r="C97" i="10"/>
  <c r="G75" i="10"/>
  <c r="M74" i="10"/>
  <c r="N73" i="10"/>
  <c r="M73" i="10"/>
  <c r="N72" i="10"/>
  <c r="M72" i="10"/>
  <c r="M68" i="10"/>
  <c r="A144" i="10" s="1"/>
  <c r="C64" i="10"/>
  <c r="C63" i="10"/>
  <c r="F126" i="10" s="1"/>
  <c r="P62" i="10"/>
  <c r="M62" i="10"/>
  <c r="Q61" i="10"/>
  <c r="P61" i="10"/>
  <c r="N61" i="10"/>
  <c r="M61" i="10"/>
  <c r="Q60" i="10"/>
  <c r="P60" i="10"/>
  <c r="N60" i="10"/>
  <c r="M60" i="10"/>
  <c r="Q59" i="10"/>
  <c r="P59" i="10"/>
  <c r="N59" i="10"/>
  <c r="M59" i="10"/>
  <c r="Q58" i="10"/>
  <c r="P58" i="10"/>
  <c r="A130" i="10" s="1"/>
  <c r="N58" i="10"/>
  <c r="M58" i="10"/>
  <c r="Q57" i="10"/>
  <c r="P57" i="10"/>
  <c r="N57" i="10"/>
  <c r="M57" i="10"/>
  <c r="Q56" i="10"/>
  <c r="P56" i="10"/>
  <c r="N56" i="10"/>
  <c r="M56" i="10"/>
  <c r="N55" i="10"/>
  <c r="E53" i="10"/>
  <c r="D53" i="10"/>
  <c r="F52" i="10"/>
  <c r="E52" i="10"/>
  <c r="D52" i="10"/>
  <c r="C52" i="10"/>
  <c r="M51" i="10"/>
  <c r="N51" i="10" s="1"/>
  <c r="G51" i="10"/>
  <c r="N50" i="10"/>
  <c r="M50" i="10"/>
  <c r="G50" i="10"/>
  <c r="W49" i="10"/>
  <c r="Y49" i="10" s="1"/>
  <c r="M49" i="10"/>
  <c r="N49" i="10" s="1"/>
  <c r="G49" i="10"/>
  <c r="W48" i="10"/>
  <c r="Y48" i="10" s="1"/>
  <c r="M48" i="10"/>
  <c r="N48" i="10" s="1"/>
  <c r="G48" i="10"/>
  <c r="W47" i="10"/>
  <c r="Y47" i="10" s="1"/>
  <c r="V47" i="10"/>
  <c r="X47" i="10" s="1"/>
  <c r="M47" i="10"/>
  <c r="N47" i="10" s="1"/>
  <c r="G47" i="10"/>
  <c r="E142" i="10" s="1"/>
  <c r="X46" i="10"/>
  <c r="W46" i="10"/>
  <c r="Y46" i="10" s="1"/>
  <c r="Z46" i="10" s="1"/>
  <c r="AA46" i="10" s="1"/>
  <c r="V46" i="10"/>
  <c r="M46" i="10"/>
  <c r="N46" i="10" s="1"/>
  <c r="G46" i="10"/>
  <c r="X45" i="10"/>
  <c r="W45" i="10"/>
  <c r="Y45" i="10" s="1"/>
  <c r="Z45" i="10" s="1"/>
  <c r="AA45" i="10" s="1"/>
  <c r="V45" i="10"/>
  <c r="M45" i="10"/>
  <c r="N45" i="10" s="1"/>
  <c r="G45" i="10"/>
  <c r="E140" i="10" s="1"/>
  <c r="W44" i="10"/>
  <c r="Y44" i="10" s="1"/>
  <c r="V44" i="10"/>
  <c r="X44" i="10" s="1"/>
  <c r="O44" i="10"/>
  <c r="M44" i="10"/>
  <c r="M52" i="10" s="1"/>
  <c r="P44" i="10" s="1"/>
  <c r="E42" i="10"/>
  <c r="B41" i="10"/>
  <c r="P40" i="10"/>
  <c r="Q40" i="10" s="1"/>
  <c r="M40" i="10"/>
  <c r="C40" i="10"/>
  <c r="N39" i="10" s="1"/>
  <c r="A40" i="10"/>
  <c r="P39" i="10"/>
  <c r="Q39" i="10" s="1"/>
  <c r="C39" i="10"/>
  <c r="M39" i="10" s="1"/>
  <c r="A39" i="10"/>
  <c r="P38" i="10"/>
  <c r="Q38" i="10" s="1"/>
  <c r="N38" i="10"/>
  <c r="C38" i="10"/>
  <c r="M38" i="10" s="1"/>
  <c r="M37" i="10"/>
  <c r="C37" i="10"/>
  <c r="P36" i="10"/>
  <c r="Q36" i="10" s="1"/>
  <c r="F113" i="10" s="1"/>
  <c r="N36" i="10"/>
  <c r="A36" i="10"/>
  <c r="A62" i="10" s="1"/>
  <c r="P35" i="10"/>
  <c r="Q35" i="10" s="1"/>
  <c r="F112" i="10" s="1"/>
  <c r="A35" i="10"/>
  <c r="A61" i="10" s="1"/>
  <c r="U34" i="10"/>
  <c r="S34" i="10" s="1"/>
  <c r="P34" i="10"/>
  <c r="Q34" i="10" s="1"/>
  <c r="F111" i="10" s="1"/>
  <c r="A34" i="10"/>
  <c r="A49" i="10" s="1"/>
  <c r="A60" i="10" s="1"/>
  <c r="U33" i="10"/>
  <c r="S33" i="10"/>
  <c r="P33" i="10"/>
  <c r="Q33" i="10" s="1"/>
  <c r="F110" i="10" s="1"/>
  <c r="A33" i="10"/>
  <c r="A48" i="10" s="1"/>
  <c r="A59" i="10" s="1"/>
  <c r="U32" i="10"/>
  <c r="S32" i="10"/>
  <c r="P32" i="10"/>
  <c r="Q32" i="10" s="1"/>
  <c r="F109" i="10" s="1"/>
  <c r="A32" i="10"/>
  <c r="A47" i="10" s="1"/>
  <c r="A58" i="10" s="1"/>
  <c r="U31" i="10"/>
  <c r="S31" i="10"/>
  <c r="F31" i="10"/>
  <c r="A31" i="10"/>
  <c r="A46" i="10" s="1"/>
  <c r="A57" i="10" s="1"/>
  <c r="U30" i="10"/>
  <c r="S30" i="10"/>
  <c r="A30" i="10"/>
  <c r="N124" i="10" s="1"/>
  <c r="U29" i="10"/>
  <c r="S29" i="10" s="1"/>
  <c r="G41" i="10" s="1"/>
  <c r="T29" i="10" s="1"/>
  <c r="A134" i="10" s="1"/>
  <c r="A29" i="10"/>
  <c r="AZ24" i="10"/>
  <c r="E20" i="10"/>
  <c r="BC19" i="10"/>
  <c r="AZ19" i="10"/>
  <c r="BA19" i="10" s="1"/>
  <c r="BB19" i="10" s="1"/>
  <c r="BD19" i="10" s="1"/>
  <c r="BE19" i="10" s="1"/>
  <c r="BG19" i="10" s="1"/>
  <c r="C36" i="10" s="1"/>
  <c r="B19" i="10"/>
  <c r="C99" i="10" s="1"/>
  <c r="BC18" i="10"/>
  <c r="BA18" i="10"/>
  <c r="BB18" i="10" s="1"/>
  <c r="AZ18" i="10"/>
  <c r="BC17" i="10"/>
  <c r="AZ17" i="10"/>
  <c r="BA17" i="10" s="1"/>
  <c r="BB17" i="10" s="1"/>
  <c r="BD17" i="10" s="1"/>
  <c r="N17" i="10"/>
  <c r="M17" i="10"/>
  <c r="L156" i="10" s="1"/>
  <c r="BF16" i="10"/>
  <c r="BC16" i="10"/>
  <c r="AZ16" i="10"/>
  <c r="BA16" i="10" s="1"/>
  <c r="BB16" i="10" s="1"/>
  <c r="BD16" i="10" s="1"/>
  <c r="BE16" i="10" s="1"/>
  <c r="BG16" i="10" s="1"/>
  <c r="C33" i="10" s="1"/>
  <c r="AE16" i="10"/>
  <c r="L16" i="10"/>
  <c r="P29" i="10" s="1"/>
  <c r="Q29" i="10" s="1"/>
  <c r="C16" i="10"/>
  <c r="BC15" i="10"/>
  <c r="AZ15" i="10"/>
  <c r="BA15" i="10" s="1"/>
  <c r="BB15" i="10" s="1"/>
  <c r="BD15" i="10" s="1"/>
  <c r="X15" i="10"/>
  <c r="T15" i="10"/>
  <c r="S15" i="10"/>
  <c r="U15" i="10" s="1"/>
  <c r="F15" i="10"/>
  <c r="O192" i="10" s="1"/>
  <c r="BC14" i="10"/>
  <c r="AZ14" i="10"/>
  <c r="BA14" i="10" s="1"/>
  <c r="BB14" i="10" s="1"/>
  <c r="BD14" i="10" s="1"/>
  <c r="T14" i="10"/>
  <c r="S14" i="10"/>
  <c r="U14" i="10" s="1"/>
  <c r="F14" i="10"/>
  <c r="K14" i="10" s="1"/>
  <c r="BC13" i="10"/>
  <c r="AZ13" i="10"/>
  <c r="BA13" i="10" s="1"/>
  <c r="BB13" i="10" s="1"/>
  <c r="BD13" i="10" s="1"/>
  <c r="AE13" i="10"/>
  <c r="T13" i="10"/>
  <c r="S13" i="10"/>
  <c r="V13" i="10" s="1"/>
  <c r="F13" i="10"/>
  <c r="K13" i="10" s="1"/>
  <c r="BC12" i="10"/>
  <c r="AZ12" i="10"/>
  <c r="BA12" i="10" s="1"/>
  <c r="BB12" i="10" s="1"/>
  <c r="BD12" i="10" s="1"/>
  <c r="BF12" i="10" s="1"/>
  <c r="AE12" i="10"/>
  <c r="T12" i="10"/>
  <c r="S12" i="10"/>
  <c r="V12" i="10" s="1"/>
  <c r="F12" i="10"/>
  <c r="K12" i="10" s="1"/>
  <c r="AE11" i="10"/>
  <c r="V11" i="10"/>
  <c r="T11" i="10"/>
  <c r="S11" i="10"/>
  <c r="U11" i="10" s="1"/>
  <c r="F11" i="10"/>
  <c r="K11" i="10" s="1"/>
  <c r="AE10" i="10"/>
  <c r="T10" i="10"/>
  <c r="S10" i="10"/>
  <c r="F10" i="10"/>
  <c r="O187" i="10" s="1"/>
  <c r="T9" i="10"/>
  <c r="S9" i="10"/>
  <c r="F9" i="10"/>
  <c r="D107" i="10" s="1"/>
  <c r="T8" i="10"/>
  <c r="S8" i="10"/>
  <c r="V8" i="10" s="1"/>
  <c r="G8" i="10"/>
  <c r="F8" i="10"/>
  <c r="O185" i="10" s="1"/>
  <c r="D107" i="11" l="1"/>
  <c r="E107" i="11"/>
  <c r="AM11" i="11"/>
  <c r="W9" i="11"/>
  <c r="AK10" i="11"/>
  <c r="L11" i="11"/>
  <c r="V11" i="11"/>
  <c r="W11" i="11"/>
  <c r="AK11" i="11"/>
  <c r="AL10" i="11"/>
  <c r="AM10" i="11"/>
  <c r="L10" i="11"/>
  <c r="AM9" i="11"/>
  <c r="O192" i="11"/>
  <c r="A192" i="11" s="1"/>
  <c r="A45" i="11"/>
  <c r="A56" i="11" s="1"/>
  <c r="V9" i="11"/>
  <c r="AK9" i="11"/>
  <c r="AL9" i="11"/>
  <c r="A139" i="11"/>
  <c r="D53" i="11"/>
  <c r="AA44" i="11"/>
  <c r="AB44" i="11" s="1"/>
  <c r="D106" i="11"/>
  <c r="E106" i="11"/>
  <c r="W8" i="11"/>
  <c r="AM8" i="11"/>
  <c r="A51" i="11"/>
  <c r="A127" i="11"/>
  <c r="N124" i="11"/>
  <c r="B191" i="11"/>
  <c r="BH14" i="11"/>
  <c r="BG14" i="11"/>
  <c r="BI14" i="11" s="1"/>
  <c r="C31" i="11" s="1"/>
  <c r="O187" i="11" s="1"/>
  <c r="A187" i="11" s="1"/>
  <c r="BH17" i="11"/>
  <c r="BG17" i="11"/>
  <c r="BI17" i="11" s="1"/>
  <c r="C34" i="11" s="1"/>
  <c r="AA47" i="11"/>
  <c r="AB47" i="11" s="1"/>
  <c r="F123" i="11"/>
  <c r="A123" i="11"/>
  <c r="BG12" i="11"/>
  <c r="BH12" i="11"/>
  <c r="AA46" i="11"/>
  <c r="AB46" i="11" s="1"/>
  <c r="BG15" i="11"/>
  <c r="BH15" i="11"/>
  <c r="BH18" i="11"/>
  <c r="BG18" i="11"/>
  <c r="BI18" i="11" s="1"/>
  <c r="C35" i="11" s="1"/>
  <c r="B190" i="11"/>
  <c r="F34" i="11"/>
  <c r="F33" i="11"/>
  <c r="BH16" i="11"/>
  <c r="BG16" i="11"/>
  <c r="BI16" i="11" s="1"/>
  <c r="C33" i="11" s="1"/>
  <c r="T41" i="11"/>
  <c r="BH19" i="11"/>
  <c r="BG19" i="11"/>
  <c r="BI19" i="11" s="1"/>
  <c r="C36" i="11" s="1"/>
  <c r="BH13" i="11"/>
  <c r="BG13" i="11"/>
  <c r="BI13" i="11" s="1"/>
  <c r="C30" i="11" s="1"/>
  <c r="AK8" i="11"/>
  <c r="W10" i="11"/>
  <c r="V8" i="11"/>
  <c r="L9" i="11"/>
  <c r="AL13" i="11"/>
  <c r="G41" i="11"/>
  <c r="V15" i="11"/>
  <c r="Q29" i="11"/>
  <c r="R29" i="11" s="1"/>
  <c r="R41" i="11" s="1"/>
  <c r="F41" i="11" s="1"/>
  <c r="O37" i="11"/>
  <c r="N126" i="11"/>
  <c r="M156" i="11"/>
  <c r="P185" i="11"/>
  <c r="W12" i="11"/>
  <c r="N52" i="11"/>
  <c r="Q44" i="11" s="1"/>
  <c r="O44" i="11" s="1"/>
  <c r="G44" i="11" s="1"/>
  <c r="A47" i="11"/>
  <c r="A58" i="11" s="1"/>
  <c r="AL8" i="11"/>
  <c r="A101" i="11"/>
  <c r="V14" i="11"/>
  <c r="L15" i="11"/>
  <c r="G17" i="11"/>
  <c r="F101" i="11" s="1"/>
  <c r="A61" i="11"/>
  <c r="P124" i="11"/>
  <c r="A133" i="10"/>
  <c r="N44" i="10"/>
  <c r="G44" i="10" s="1"/>
  <c r="E139" i="10" s="1"/>
  <c r="F132" i="10"/>
  <c r="D108" i="10"/>
  <c r="V9" i="10"/>
  <c r="P30" i="10"/>
  <c r="Q30" i="10" s="1"/>
  <c r="F107" i="10" s="1"/>
  <c r="V10" i="10"/>
  <c r="N192" i="10"/>
  <c r="A192" i="10" s="1"/>
  <c r="P31" i="10"/>
  <c r="Q31" i="10" s="1"/>
  <c r="F108" i="10" s="1"/>
  <c r="P37" i="10"/>
  <c r="Q37" i="10" s="1"/>
  <c r="O188" i="10"/>
  <c r="A101" i="10"/>
  <c r="O186" i="10"/>
  <c r="U9" i="10"/>
  <c r="K9" i="10"/>
  <c r="D106" i="10"/>
  <c r="D114" i="10" s="1"/>
  <c r="E106" i="10"/>
  <c r="E114" i="10" s="1"/>
  <c r="O124" i="10"/>
  <c r="A51" i="10"/>
  <c r="P124" i="10"/>
  <c r="BF14" i="10"/>
  <c r="BE14" i="10"/>
  <c r="BG14" i="10" s="1"/>
  <c r="C31" i="10" s="1"/>
  <c r="N187" i="10" s="1"/>
  <c r="BE13" i="10"/>
  <c r="BG13" i="10" s="1"/>
  <c r="C30" i="10" s="1"/>
  <c r="BF13" i="10"/>
  <c r="M36" i="10"/>
  <c r="N35" i="10"/>
  <c r="BD18" i="10"/>
  <c r="AZ20" i="10"/>
  <c r="B190" i="10"/>
  <c r="BE12" i="10"/>
  <c r="M124" i="10"/>
  <c r="A44" i="10"/>
  <c r="A55" i="10" s="1"/>
  <c r="M55" i="10" s="1"/>
  <c r="A127" i="10" s="1"/>
  <c r="BF17" i="10"/>
  <c r="BE17" i="10"/>
  <c r="BG17" i="10" s="1"/>
  <c r="C34" i="10" s="1"/>
  <c r="BF15" i="10"/>
  <c r="BE15" i="10"/>
  <c r="BG15" i="10" s="1"/>
  <c r="C32" i="10" s="1"/>
  <c r="BF19" i="10"/>
  <c r="N189" i="10"/>
  <c r="A189" i="10" s="1"/>
  <c r="Z47" i="10"/>
  <c r="AA47" i="10" s="1"/>
  <c r="F123" i="10"/>
  <c r="A123" i="10"/>
  <c r="N32" i="10"/>
  <c r="M33" i="10"/>
  <c r="Z44" i="10"/>
  <c r="AA44" i="10" s="1"/>
  <c r="K10" i="10"/>
  <c r="K8" i="10"/>
  <c r="O191" i="10"/>
  <c r="U8" i="10"/>
  <c r="F106" i="10"/>
  <c r="V14" i="10"/>
  <c r="V15" i="10"/>
  <c r="S41" i="10"/>
  <c r="A45" i="10"/>
  <c r="A56" i="10" s="1"/>
  <c r="K15" i="10"/>
  <c r="E41" i="10"/>
  <c r="F30" i="10" s="1"/>
  <c r="F32" i="10" s="1"/>
  <c r="U10" i="10"/>
  <c r="O189" i="10"/>
  <c r="N191" i="10"/>
  <c r="A191" i="10" s="1"/>
  <c r="A50" i="10"/>
  <c r="M126" i="10"/>
  <c r="Q124" i="10" s="1"/>
  <c r="U12" i="10"/>
  <c r="U13" i="10"/>
  <c r="N37" i="10"/>
  <c r="G17" i="10"/>
  <c r="F101" i="10" s="1"/>
  <c r="E114" i="11" l="1"/>
  <c r="D114" i="11"/>
  <c r="O186" i="11"/>
  <c r="A186" i="11" s="1"/>
  <c r="BI15" i="11"/>
  <c r="C32" i="11" s="1"/>
  <c r="O188" i="11" s="1"/>
  <c r="A188" i="11" s="1"/>
  <c r="AK19" i="11"/>
  <c r="B192" i="11"/>
  <c r="AK18" i="11"/>
  <c r="F106" i="11"/>
  <c r="F103" i="11" s="1"/>
  <c r="U29" i="11"/>
  <c r="A134" i="11" s="1"/>
  <c r="E139" i="11"/>
  <c r="F139" i="11"/>
  <c r="F150" i="11" s="1"/>
  <c r="E191" i="11" s="1"/>
  <c r="G52" i="11"/>
  <c r="AC47" i="11"/>
  <c r="AD47" i="11" s="1"/>
  <c r="N31" i="11"/>
  <c r="O30" i="11"/>
  <c r="R124" i="11"/>
  <c r="A124" i="11"/>
  <c r="N36" i="11"/>
  <c r="O35" i="11"/>
  <c r="N33" i="11"/>
  <c r="O32" i="11"/>
  <c r="BI12" i="11"/>
  <c r="C29" i="11" s="1"/>
  <c r="BG22" i="11"/>
  <c r="O189" i="11"/>
  <c r="N34" i="11"/>
  <c r="O33" i="11"/>
  <c r="O34" i="11"/>
  <c r="N35" i="11"/>
  <c r="B187" i="11"/>
  <c r="N30" i="11"/>
  <c r="O29" i="11"/>
  <c r="F132" i="11"/>
  <c r="A139" i="10"/>
  <c r="Q41" i="10"/>
  <c r="F41" i="10" s="1"/>
  <c r="G52" i="10"/>
  <c r="F139" i="10"/>
  <c r="F150" i="10" s="1"/>
  <c r="N163" i="10" s="1"/>
  <c r="B192" i="10"/>
  <c r="A75" i="10"/>
  <c r="A187" i="10"/>
  <c r="B187" i="10"/>
  <c r="B189" i="10"/>
  <c r="B191" i="10"/>
  <c r="BG12" i="10"/>
  <c r="C29" i="10" s="1"/>
  <c r="A124" i="10"/>
  <c r="BF18" i="10"/>
  <c r="BE18" i="10"/>
  <c r="BG18" i="10" s="1"/>
  <c r="C35" i="10" s="1"/>
  <c r="N31" i="10"/>
  <c r="M32" i="10"/>
  <c r="N188" i="10"/>
  <c r="M30" i="10"/>
  <c r="N29" i="10"/>
  <c r="F114" i="10"/>
  <c r="F115" i="10" s="1"/>
  <c r="F103" i="10"/>
  <c r="F33" i="10"/>
  <c r="F34" i="10"/>
  <c r="N186" i="10"/>
  <c r="N30" i="10"/>
  <c r="M31" i="10"/>
  <c r="M34" i="10"/>
  <c r="N33" i="10"/>
  <c r="AB47" i="10"/>
  <c r="AC47" i="10" s="1"/>
  <c r="B186" i="11" l="1"/>
  <c r="B188" i="11"/>
  <c r="N32" i="11"/>
  <c r="O31" i="11"/>
  <c r="AK20" i="11"/>
  <c r="AK21" i="11" s="1"/>
  <c r="D6" i="11" s="1"/>
  <c r="F114" i="11"/>
  <c r="F115" i="11" s="1"/>
  <c r="AL18" i="11"/>
  <c r="O163" i="11"/>
  <c r="A189" i="11"/>
  <c r="B189" i="11"/>
  <c r="N29" i="11"/>
  <c r="C41" i="11"/>
  <c r="F118" i="11" s="1"/>
  <c r="O160" i="11" s="1"/>
  <c r="O185" i="11"/>
  <c r="F105" i="11"/>
  <c r="F104" i="11"/>
  <c r="E191" i="10"/>
  <c r="N34" i="10"/>
  <c r="M35" i="10"/>
  <c r="B188" i="10"/>
  <c r="A188" i="10"/>
  <c r="A186" i="10"/>
  <c r="B186" i="10"/>
  <c r="M29" i="10"/>
  <c r="C41" i="10"/>
  <c r="F118" i="10" s="1"/>
  <c r="N160" i="10" s="1"/>
  <c r="N185" i="10"/>
  <c r="F105" i="10"/>
  <c r="F104" i="10"/>
  <c r="BE22" i="10"/>
  <c r="A119" i="11" l="1"/>
  <c r="A75" i="11"/>
  <c r="E185" i="11"/>
  <c r="A185" i="11"/>
  <c r="B185" i="11"/>
  <c r="E188" i="11" s="1"/>
  <c r="E194" i="11" s="1"/>
  <c r="F135" i="11"/>
  <c r="A119" i="10"/>
  <c r="A185" i="10"/>
  <c r="E185" i="10"/>
  <c r="B185" i="10"/>
  <c r="E188" i="10" s="1"/>
  <c r="E194" i="10" s="1"/>
  <c r="F135" i="10"/>
  <c r="O158" i="11" l="1"/>
  <c r="E153" i="11"/>
  <c r="A169" i="11" s="1"/>
  <c r="E153" i="10"/>
  <c r="N158" i="10"/>
  <c r="O161" i="11" l="1"/>
  <c r="O164" i="11" s="1"/>
  <c r="P158" i="11"/>
  <c r="A154" i="11"/>
  <c r="F152" i="11"/>
  <c r="A152" i="11"/>
  <c r="N161" i="10"/>
  <c r="N164" i="10" s="1"/>
  <c r="O158" i="10"/>
  <c r="A154" i="10"/>
  <c r="A169" i="10"/>
  <c r="F152" i="10"/>
  <c r="A152" i="10"/>
  <c r="F24" i="11" l="1"/>
  <c r="L24" i="11" s="1"/>
  <c r="E27" i="11" s="1"/>
  <c r="E24" i="11"/>
  <c r="E25" i="11" s="1"/>
  <c r="P159" i="11"/>
  <c r="F156" i="11"/>
  <c r="E24" i="10"/>
  <c r="E25" i="10" s="1"/>
  <c r="F24" i="10"/>
  <c r="O159" i="10"/>
  <c r="N167" i="10" s="1"/>
  <c r="O167" i="10" s="1"/>
  <c r="B162" i="10" s="1"/>
  <c r="F156" i="10"/>
  <c r="Q159" i="11" l="1"/>
  <c r="P160" i="11"/>
  <c r="A156" i="11"/>
  <c r="A164" i="11"/>
  <c r="C22" i="11"/>
  <c r="O167" i="11"/>
  <c r="P167" i="11" s="1"/>
  <c r="B162" i="11" s="1"/>
  <c r="C25" i="10"/>
  <c r="B21" i="10"/>
  <c r="B82" i="10" s="1"/>
  <c r="B83" i="10" s="1"/>
  <c r="A164" i="10"/>
  <c r="C22" i="10"/>
  <c r="A156" i="10"/>
  <c r="O160" i="10"/>
  <c r="P159" i="10"/>
  <c r="C25" i="11" l="1"/>
  <c r="B21" i="11"/>
  <c r="B82" i="11" s="1"/>
  <c r="B83" i="11" s="1"/>
  <c r="T160" i="11"/>
  <c r="Q160" i="11"/>
  <c r="F158" i="11"/>
  <c r="A158" i="11" s="1"/>
  <c r="T159" i="11"/>
  <c r="F157" i="11"/>
  <c r="F83" i="10"/>
  <c r="S159" i="10"/>
  <c r="F157" i="10"/>
  <c r="S160" i="10"/>
  <c r="P160" i="10"/>
  <c r="F158" i="10"/>
  <c r="A158" i="10" s="1"/>
  <c r="F83" i="11" l="1"/>
  <c r="W159" i="11"/>
  <c r="C165" i="11"/>
  <c r="V159" i="11"/>
  <c r="A165" i="11"/>
  <c r="AA159" i="11"/>
  <c r="AB159" i="11" s="1"/>
  <c r="B165" i="11" s="1"/>
  <c r="X159" i="11"/>
  <c r="C23" i="11"/>
  <c r="Z159" i="11"/>
  <c r="A157" i="11"/>
  <c r="F159" i="11"/>
  <c r="A159" i="11" s="1"/>
  <c r="A166" i="11"/>
  <c r="C24" i="11"/>
  <c r="AA160" i="11"/>
  <c r="AB160" i="11" s="1"/>
  <c r="B166" i="11" s="1"/>
  <c r="Z160" i="11"/>
  <c r="X160" i="11"/>
  <c r="V160" i="11"/>
  <c r="C166" i="11"/>
  <c r="W160" i="11"/>
  <c r="A166" i="10"/>
  <c r="V160" i="10"/>
  <c r="U160" i="10"/>
  <c r="C24" i="10"/>
  <c r="C166" i="10"/>
  <c r="Z160" i="10"/>
  <c r="AA160" i="10" s="1"/>
  <c r="B166" i="10" s="1"/>
  <c r="Y160" i="10"/>
  <c r="W160" i="10"/>
  <c r="W161" i="10" s="1"/>
  <c r="C168" i="10" s="1"/>
  <c r="A157" i="10"/>
  <c r="F159" i="10"/>
  <c r="A159" i="10" s="1"/>
  <c r="Y159" i="10"/>
  <c r="C165" i="10"/>
  <c r="C23" i="10"/>
  <c r="Z159" i="10"/>
  <c r="AA159" i="10" s="1"/>
  <c r="B165" i="10" s="1"/>
  <c r="A165" i="10"/>
  <c r="W159" i="10"/>
  <c r="V159" i="10"/>
  <c r="U159" i="10"/>
  <c r="X161" i="11" l="1"/>
  <c r="C16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tc={7165B636-973E-40C6-801E-5FD727290684}</author>
    <author>tc={224F5FA2-E82D-4587-8ED0-906EC8F776B1}</author>
    <author>tc={CB673CA6-CDA9-4B70-99A8-BF310AC778AB}</author>
    <author>tc={FD3C0204-E0AB-498D-B643-60D16C4E362E}</author>
    <author>tc={5D13C520-FF11-4154-9F73-C22359517E4C}</author>
    <author>tc={41C0F943-6A7F-47E9-9AD8-11FFB103D0D5}</author>
    <author>tc={45F67E99-AD10-45CE-B809-D3689AAD1786}</author>
    <author>tc={6F099F2D-8A55-47FA-A51C-E048A3764BDA}</author>
    <author>tc={963553EA-765F-418B-8713-45A9879B0D6F}</author>
    <author>tc={FEF1E9ED-718F-4099-83CD-2057F2F6E16D}</author>
    <author>tc={BA56738F-8A0D-4474-ABE6-B6F6F1AF4CBA}</author>
    <author>tc={D8CBD759-716D-4F72-98BC-1214AF4D4E8B}</author>
    <author>tc={FA1487EA-56B3-48FA-AE00-6DD87D331E56}</author>
    <author>tc={65CF1B06-23A8-4835-837D-E34744A80E3A}</author>
    <author>tc={ADC1C795-F700-446B-B214-1AC6F096EF12}</author>
    <author>tc={54B49178-33A6-4671-AF2F-7E3D0801447C}</author>
    <author>tc={0599116A-E0A4-449B-A5BD-9866256D0239}</author>
  </authors>
  <commentList>
    <comment ref="E21" authorId="0" shapeId="0" xr:uid="{7165B636-973E-40C6-801E-5FD7272906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Mailadresse eintragen, falls der direkte Versand der Krankenkassenrechnung an die Klienten per Mail gewünscht wird.</t>
      </text>
    </comment>
    <comment ref="C23" authorId="1" shapeId="0" xr:uid="{224F5FA2-E82D-4587-8ED0-906EC8F776B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
      </text>
    </comment>
    <comment ref="C24" authorId="2" shapeId="0" xr:uid="{CB673CA6-CDA9-4B70-99A8-BF310AC778A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
      </text>
    </comment>
    <comment ref="C25" authorId="3" shapeId="0" xr:uid="{FD3C0204-E0AB-498D-B643-60D16C4E362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
      </text>
    </comment>
    <comment ref="B28" authorId="4" shapeId="0" xr:uid="{5D13C520-FF11-4154-9F73-C22359517E4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
      </text>
    </comment>
    <comment ref="C28" authorId="5" shapeId="0" xr:uid="{41C0F943-6A7F-47E9-9AD8-11FFB103D0D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Prämie wird anhand des Alters automatisch eingetragen. Bitte den Betrag nachprüfen (IPV, tiefere Franchise etc.), da die Standard-Prämie nicht für alle Personen gilt.</t>
      </text>
    </comment>
    <comment ref="D28" authorId="6" shapeId="0" xr:uid="{45F67E99-AD10-45CE-B809-D3689AAD178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 der Dropdown-Auswahl "IPV" wird keine Krankenkassenprämie eingetragen. 
Der Krankenkassenbetrag muss immer überprüft werden (Formel kann manuell überschrieben werden).</t>
      </text>
    </comment>
    <comment ref="E28" authorId="7" shapeId="0" xr:uid="{6F099F2D-8A55-47FA-A51C-E048A3764B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
      </text>
    </comment>
    <comment ref="F28" authorId="8" shapeId="0" xr:uid="{963553EA-765F-418B-8713-45A9879B0D6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
      </text>
    </comment>
    <comment ref="G28" authorId="9" shapeId="0" xr:uid="{FEF1E9ED-718F-4099-83CD-2057F2F6E16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
Der anrechenbare Betrag wird auf dem Berechnungsblatt ausgewiesen, sobald bei den Einnahmen ein Pensum eingetragen wird.</t>
      </text>
    </comment>
    <comment ref="G43" authorId="10" shapeId="0" xr:uid="{BA56738F-8A0D-4474-ABE6-B6F6F1AF4CB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Freibetrag, gemäss Arbeitspensum.
Für Renten, Versicherungsleistungen, Überschuss-Übertrag etc. wird kein Freibetrag gewährt.</t>
      </text>
    </comment>
    <comment ref="B54" authorId="11" shapeId="0" xr:uid="{D8CBD759-716D-4F72-98BC-1214AF4D4E8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Entschädigung für Mehrkosten für auswärtige Verpflegung bei Arbeitseinsatz. Diese wird mit der Pauschale für den "weiteren Lebensunterhalt" finanziert oder bei einem Überschuss dem Überschuss angerechnet.</t>
      </text>
    </comment>
    <comment ref="A71" authorId="12" shapeId="0" xr:uid="{FA1487EA-56B3-48FA-AE00-6DD87D331E5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
      </text>
    </comment>
    <comment ref="A85" authorId="13" shapeId="0" xr:uid="{65CF1B06-23A8-4835-837D-E34744A80E3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Auf dem Blatt für den / die Klienten erscheint der Text mit einer Information, dass die Gemeinde eine Mietrechnung ausstellt. 
Falls diese Information nicht zutrifft, kann hier ein alternativer Text hinterlegt werden. Z.B., dass die Miete der Gastfamilie abgegeben werden muss etc.</t>
      </text>
    </comment>
    <comment ref="A87" authorId="14" shapeId="0" xr:uid="{ADC1C795-F700-446B-B214-1AC6F096EF1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 Information erscheint auf Seite 2 für die Klienten und dient zudem dem KSD bei Rückfragen zum Berechnungsblatt.</t>
      </text>
    </comment>
    <comment ref="Q159" authorId="15" shapeId="0" xr:uid="{54B49178-33A6-4671-AF2F-7E3D0801447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Miete = 0, wenn Minus im Feld links</t>
      </text>
    </comment>
    <comment ref="B174" authorId="16" shapeId="0" xr:uid="{0599116A-E0A4-449B-A5BD-9866256D023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Eintrag von Seite 1 wird hier übernommen, kann aber an dieser Stelle mit anderen Kontakt-Infos für die Klienten überschrieben werden, falls sich diese von denen auf Seite 1 unterscheiden.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tc={3B750CAF-EBB5-462A-9E9B-6518B5CF8497}</author>
    <author>tc={E9321CC4-C3E9-4FAE-9FC4-4C3FC3EECC64}</author>
    <author>tc={8DC0DB41-7BBC-4B65-8553-DACFB54B620F}</author>
    <author>tc={8A5E230C-3665-4FE8-8F41-AACB5A29EEC5}</author>
    <author>tc={612105A6-6023-41B5-9FEA-54DE63C2D2FD}</author>
    <author>tc={1BBF3AF9-66C4-4435-9D90-DEE71E4C3EB8}</author>
    <author>tc={A00AA610-7203-49E0-8919-300E9A87B3E3}</author>
    <author>tc={D0952E70-B69D-4F2C-B9B7-1445B1F19043}</author>
    <author>tc={7F8574E6-1FBA-4976-8DA7-17F1B99E0F8F}</author>
    <author>tc={31E39558-5613-4DF7-9BF7-1BB156CC8A09}</author>
    <author>tc={55B83E95-080B-42ED-811C-B30F6803062A}</author>
    <author>tc={17C5FAA6-92E5-42F2-BF5D-A161BACDDF82}</author>
    <author>tc={07D2A1D0-570F-4C4E-8140-86664348490F}</author>
    <author>tc={CF1330C7-24DE-42A4-A132-2AA74DD5EB02}</author>
    <author>tc={0BDC2F29-E895-4D67-84B9-F3F46FC85C8F}</author>
    <author>tc={F651C144-D7F2-4D7C-862E-AFB94A0BB54E}</author>
    <author>tc={85AB3365-380F-4ECF-A64B-373EFA771E18}</author>
  </authors>
  <commentList>
    <comment ref="E21" authorId="0" shapeId="0" xr:uid="{3B750CAF-EBB5-462A-9E9B-6518B5CF849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Bitte Mailadresse eintragen, falls der direkte Versand der Krankenkassenrechnung an die Klienten per Mail gewünscht wird.</t>
      </text>
    </comment>
    <comment ref="C23" authorId="1" shapeId="0" xr:uid="{E9321CC4-C3E9-4FAE-9FC4-4C3FC3EECC6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
      </text>
    </comment>
    <comment ref="C24" authorId="2" shapeId="0" xr:uid="{8DC0DB41-7BBC-4B65-8553-DACFB54B62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
      </text>
    </comment>
    <comment ref="C25" authorId="3" shapeId="0" xr:uid="{8A5E230C-3665-4FE8-8F41-AACB5A29EEC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
      </text>
    </comment>
    <comment ref="B28" authorId="4" shapeId="0" xr:uid="{612105A6-6023-41B5-9FEA-54DE63C2D2F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
      </text>
    </comment>
    <comment ref="C28" authorId="5" shapeId="0" xr:uid="{1BBF3AF9-66C4-4435-9D90-DEE71E4C3E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Prämie wird anhand des Alters automatisch eingetragen. Bitte den Betrag nachprüfen (IPV, tiefere Franchise etc.), da die Standard-Prämie nicht für alle Personen gilt.</t>
      </text>
    </comment>
    <comment ref="D28" authorId="6" shapeId="0" xr:uid="{A00AA610-7203-49E0-8919-300E9A87B3E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Bei der Dropdown-Auswahl "IPV" wird keine Krankenkassenprämie eingetragen. 
Der Krankenkassenbetrag muss immer überprüft werden (Formel kann manuell überschrieben werden).</t>
      </text>
    </comment>
    <comment ref="E28" authorId="7" shapeId="0" xr:uid="{D0952E70-B69D-4F2C-B9B7-1445B1F1904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
      </text>
    </comment>
    <comment ref="F28" authorId="8" shapeId="0" xr:uid="{7F8574E6-1FBA-4976-8DA7-17F1B99E0F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
      </text>
    </comment>
    <comment ref="G28" authorId="9" shapeId="0" xr:uid="{31E39558-5613-4DF7-9BF7-1BB156CC8A0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t>
      </text>
    </comment>
    <comment ref="G43" authorId="10" shapeId="0" xr:uid="{55B83E95-080B-42ED-811C-B30F680306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Freibetrag, gemäss Arbeitspensum.
Für Renten, Versicherungsleistungen, Überschuss-Übertrag etc. wird kein Freibetrag gewährt.</t>
      </text>
    </comment>
    <comment ref="B54" authorId="11" shapeId="0" xr:uid="{17C5FAA6-92E5-42F2-BF5D-A161BACDDF8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Entschädigung für Mehrkosten für auswärtige Verpflegung bei Arbeitseinsatz. Diese wird mit der Pauschale für den "weiteren Lebensunterhalt" finanziert oder bei einem Überschuss dem Überschuss angerechnet.</t>
      </text>
    </comment>
    <comment ref="A71" authorId="12" shapeId="0" xr:uid="{07D2A1D0-570F-4C4E-8140-8666434849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
      </text>
    </comment>
    <comment ref="A85" authorId="13" shapeId="0" xr:uid="{CF1330C7-24DE-42A4-A132-2AA74DD5EB0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Auf dem Blatt für den / die Klienten erscheint der Text mit einer Information, dass die Gemeinde eine Mietrechnung ausstellt. 
Falls diese Information nicht zutrifft, kann hier ein alternativer Text hinterlegt werden. Z.B., dass die Miete der Gastfamilie abgegeben werden muss etc.</t>
      </text>
    </comment>
    <comment ref="A87" authorId="14" shapeId="0" xr:uid="{0BDC2F29-E895-4D67-84B9-F3F46FC85C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Diese Information erscheint auf Seite 2 für die Klienten und dient zudem dem KSD bei Rückfragen zum Berechnungsblatt.</t>
      </text>
    </comment>
    <comment ref="P159" authorId="15" shapeId="0" xr:uid="{F651C144-D7F2-4D7C-862E-AFB94A0BB54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Miete = 0, wenn Minus im Feld links</t>
      </text>
    </comment>
    <comment ref="B174" authorId="16" shapeId="0" xr:uid="{85AB3365-380F-4ECF-A64B-373EFA771E1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Eintrag von Seite 1 wird hier übernommen, kann aber an dieser Stelle mit anderen Kontakt-Infos für die Klienten überschrieben werden, falls sich diese von denen auf Seite 1 unterscheiden.</t>
      </text>
    </comment>
  </commentList>
</comments>
</file>

<file path=xl/sharedStrings.xml><?xml version="1.0" encoding="utf-8"?>
<sst xmlns="http://schemas.openxmlformats.org/spreadsheetml/2006/main" count="1544" uniqueCount="472">
  <si>
    <t>Geb-Datum</t>
  </si>
  <si>
    <t>Vorname</t>
  </si>
  <si>
    <t>Adresse</t>
  </si>
  <si>
    <t>PLZ / Ort</t>
  </si>
  <si>
    <t>Alter</t>
  </si>
  <si>
    <t>Verpflegung</t>
  </si>
  <si>
    <t>Taschengeld</t>
  </si>
  <si>
    <t>Ansätze</t>
  </si>
  <si>
    <t>Total</t>
  </si>
  <si>
    <t>Miete</t>
  </si>
  <si>
    <r>
      <t xml:space="preserve">EFB
</t>
    </r>
    <r>
      <rPr>
        <sz val="7"/>
        <color theme="1"/>
        <rFont val="Arial"/>
        <family val="2"/>
      </rPr>
      <t>(Freibetrag)</t>
    </r>
  </si>
  <si>
    <t>SIL</t>
  </si>
  <si>
    <t>Name (Dossierträger)</t>
  </si>
  <si>
    <t>Kleidergeld?
(mind. Fr. 20.-)</t>
  </si>
  <si>
    <t>LU-Berechnung pro Person</t>
  </si>
  <si>
    <r>
      <t xml:space="preserve">EFB
</t>
    </r>
    <r>
      <rPr>
        <sz val="7"/>
        <color theme="1"/>
        <rFont val="Arial"/>
        <family val="2"/>
      </rPr>
      <t>Kürzung, falls nötig</t>
    </r>
  </si>
  <si>
    <t>Max-Betrag</t>
  </si>
  <si>
    <t>Total Kürzung, wenn nötig?</t>
  </si>
  <si>
    <t>EFB Erwerb</t>
  </si>
  <si>
    <t>EFB Ausbildung</t>
  </si>
  <si>
    <t>EFB IZU</t>
  </si>
  <si>
    <t xml:space="preserve"> &lt;- Rundung prüfen</t>
  </si>
  <si>
    <t>Ort</t>
  </si>
  <si>
    <t>Postleitzahl</t>
  </si>
  <si>
    <t>0-5 Jahre</t>
  </si>
  <si>
    <t>6-1 Jahre</t>
  </si>
  <si>
    <t>ab 16 Jahren</t>
  </si>
  <si>
    <t>Nachname</t>
  </si>
  <si>
    <t>N-Nummer</t>
  </si>
  <si>
    <t>AG-Nummer</t>
  </si>
  <si>
    <t>Total Personen
auf Berechnung</t>
  </si>
  <si>
    <t>Schrägstrich für Auflistung</t>
  </si>
  <si>
    <t>ÖV verkettet</t>
  </si>
  <si>
    <t>Miete Total
(effektiver Mietbetrag)</t>
  </si>
  <si>
    <t>KK verkettet</t>
  </si>
  <si>
    <t>alternative Angaben, je nach Datum (für Anpassung)</t>
  </si>
  <si>
    <t>Datum der Anpassung:</t>
  </si>
  <si>
    <t>&lt;- Annahme, Anpassung Verpflegung am 01.04.2024</t>
  </si>
  <si>
    <t>Gültig per:</t>
  </si>
  <si>
    <t>Korrekturen</t>
  </si>
  <si>
    <t>Beispiele</t>
  </si>
  <si>
    <t>Korrekturen verkettet</t>
  </si>
  <si>
    <t>im Voraus bezogene Sozialhilfe (abziehen / Minus eintragen)</t>
  </si>
  <si>
    <t>was noch?</t>
  </si>
  <si>
    <t>6. Geburtstag Mitte Monat = Mehr Taschengeld o.ä.</t>
  </si>
  <si>
    <t>Überschuss aus Vormonat(en)</t>
  </si>
  <si>
    <t>Einkünfte</t>
  </si>
  <si>
    <t>Auflistung aller Einkünfte</t>
  </si>
  <si>
    <t>abzügl. Freibetrag</t>
  </si>
  <si>
    <t>Alles ab Spalte J wird ausgeblendet und ist nicht sichbar beim Einfüllen des Berechnungsblattes</t>
  </si>
  <si>
    <t>Summe andere Einnahmen</t>
  </si>
  <si>
    <t>&lt;- Überschuss aus Berechnung der Eltern</t>
  </si>
  <si>
    <t>Nettoeinkünfte</t>
  </si>
  <si>
    <t>Werte Einkommensfreibetrag (anpassen S,F / N)</t>
  </si>
  <si>
    <t>Pensum</t>
  </si>
  <si>
    <r>
      <t xml:space="preserve">Kontrolle, ob Freibetrag berechnet wird?
</t>
    </r>
    <r>
      <rPr>
        <b/>
        <sz val="11"/>
        <color theme="1"/>
        <rFont val="Arial"/>
        <family val="2"/>
      </rPr>
      <t>Einkommen:</t>
    </r>
  </si>
  <si>
    <t>Kontrolle</t>
  </si>
  <si>
    <t>Alterskontrolle wegen Pauschalen</t>
  </si>
  <si>
    <t>Warnmeldung, wenn jemand im laufenden Monat neue Pauschalen erhält</t>
  </si>
  <si>
    <t>Unterhaltsbeiträge</t>
  </si>
  <si>
    <t>&lt;- Wert für Text pro Person</t>
  </si>
  <si>
    <t>Berechnung auswärtige Verpflegung (max. vier Personen mit Vergütung)</t>
  </si>
  <si>
    <t>Dossierstatus</t>
  </si>
  <si>
    <t>Bedarf ohne KK und Miete</t>
  </si>
  <si>
    <t>Bedarf Miete</t>
  </si>
  <si>
    <t>Bedarf KK</t>
  </si>
  <si>
    <t>Einnahmen</t>
  </si>
  <si>
    <t>Total Bedarf</t>
  </si>
  <si>
    <t>Berechnung Unterstützung</t>
  </si>
  <si>
    <t>Fehlbetrag</t>
  </si>
  <si>
    <t>Krankenkasse</t>
  </si>
  <si>
    <t>Formeln für Berechnung der Unterstützung</t>
  </si>
  <si>
    <t>auszustellende Rechnungen</t>
  </si>
  <si>
    <t>Bedarf</t>
  </si>
  <si>
    <t>Bemerkungen</t>
  </si>
  <si>
    <t>Mietrechnung</t>
  </si>
  <si>
    <t>KK-Rechnung</t>
  </si>
  <si>
    <t>&lt;- Info zu Kleidergeld nötig?</t>
  </si>
  <si>
    <t>E-Mail Adresse für</t>
  </si>
  <si>
    <t>&lt;- bei Unterstützung und Rechnungs-Infos mit Farben arbeiten???</t>
  </si>
  <si>
    <t>Fischbach-Göslikon</t>
  </si>
  <si>
    <t>Alle Ortschaften im Kanton Aargau</t>
  </si>
  <si>
    <t>Name</t>
  </si>
  <si>
    <t>Bezirk</t>
  </si>
  <si>
    <t>Kaiseraugst</t>
  </si>
  <si>
    <t>Bezirk Rheinfelden</t>
  </si>
  <si>
    <t>Olsberg</t>
  </si>
  <si>
    <t>Rheinfelden</t>
  </si>
  <si>
    <t>Magden</t>
  </si>
  <si>
    <t>Möhlin</t>
  </si>
  <si>
    <t>Zeiningen</t>
  </si>
  <si>
    <t>Zuzgen</t>
  </si>
  <si>
    <t>Hellikon</t>
  </si>
  <si>
    <t>Wegenstetten</t>
  </si>
  <si>
    <t>Mumpf</t>
  </si>
  <si>
    <t>Wallbach</t>
  </si>
  <si>
    <t>Obermumpf</t>
  </si>
  <si>
    <t>Schupfart</t>
  </si>
  <si>
    <t>Bezirk Laufenburg</t>
  </si>
  <si>
    <t>Sisseln</t>
  </si>
  <si>
    <t>Aarburg</t>
  </si>
  <si>
    <t>Bezirk Zofingen</t>
  </si>
  <si>
    <t>Oftringen</t>
  </si>
  <si>
    <t>Zofingen</t>
  </si>
  <si>
    <t>Strengelbach</t>
  </si>
  <si>
    <t>Vordemwald</t>
  </si>
  <si>
    <t>Brittnau</t>
  </si>
  <si>
    <t>Uerkheim</t>
  </si>
  <si>
    <t>Bottenwil</t>
  </si>
  <si>
    <t>Rothrist</t>
  </si>
  <si>
    <t>Murgenthal</t>
  </si>
  <si>
    <t>Aarau</t>
  </si>
  <si>
    <t>Bezirk Aarau</t>
  </si>
  <si>
    <t>Küttigen</t>
  </si>
  <si>
    <t>Biberstein</t>
  </si>
  <si>
    <t>Densbüren</t>
  </si>
  <si>
    <t>Herznach</t>
  </si>
  <si>
    <t>Ueken</t>
  </si>
  <si>
    <t>Suhr</t>
  </si>
  <si>
    <t>Unterentfelden</t>
  </si>
  <si>
    <t>Oberentfelden</t>
  </si>
  <si>
    <t>Muhen</t>
  </si>
  <si>
    <t>Schöftland</t>
  </si>
  <si>
    <t>Bezirk Kulm</t>
  </si>
  <si>
    <t>Hirschthal</t>
  </si>
  <si>
    <t>Holziken</t>
  </si>
  <si>
    <t>Schlossrued</t>
  </si>
  <si>
    <t>Schmiedrued</t>
  </si>
  <si>
    <t>Staffelbach</t>
  </si>
  <si>
    <t>Kirchleerau</t>
  </si>
  <si>
    <t>Reitnau</t>
  </si>
  <si>
    <t>Oberhof</t>
  </si>
  <si>
    <t>Wölflinswil</t>
  </si>
  <si>
    <t>Wittnau</t>
  </si>
  <si>
    <t>Frick</t>
  </si>
  <si>
    <t>Oeschgen</t>
  </si>
  <si>
    <t>Gipf-Oberfrick</t>
  </si>
  <si>
    <t>Eiken</t>
  </si>
  <si>
    <t>Hornussen</t>
  </si>
  <si>
    <t>Bözen</t>
  </si>
  <si>
    <t>Bezirk Brugg</t>
  </si>
  <si>
    <t>Elfingen</t>
  </si>
  <si>
    <t>Effingen</t>
  </si>
  <si>
    <t>Zeihen</t>
  </si>
  <si>
    <t>Laufenburg</t>
  </si>
  <si>
    <t>Kaisten</t>
  </si>
  <si>
    <t>Rupperswil</t>
  </si>
  <si>
    <t>Bezirk Lenzburg</t>
  </si>
  <si>
    <t>Möriken-Wildegg</t>
  </si>
  <si>
    <t>Auenstein</t>
  </si>
  <si>
    <t>Schinznach</t>
  </si>
  <si>
    <t>Schinznach-Bad</t>
  </si>
  <si>
    <t>Brugg</t>
  </si>
  <si>
    <t>Windisch</t>
  </si>
  <si>
    <t>Villnachern</t>
  </si>
  <si>
    <t>Riniken</t>
  </si>
  <si>
    <t>Bözberg</t>
  </si>
  <si>
    <t>Villigen</t>
  </si>
  <si>
    <t>Rüfenach</t>
  </si>
  <si>
    <t>Remigen</t>
  </si>
  <si>
    <t>Mönthal</t>
  </si>
  <si>
    <t>Birr</t>
  </si>
  <si>
    <t>Mülligen</t>
  </si>
  <si>
    <t>Birrhard</t>
  </si>
  <si>
    <t>Habsburg</t>
  </si>
  <si>
    <t>Lupfig</t>
  </si>
  <si>
    <t>Gansingen</t>
  </si>
  <si>
    <t>Mettauertal</t>
  </si>
  <si>
    <t>Turgi</t>
  </si>
  <si>
    <t>Bezirk Baden</t>
  </si>
  <si>
    <t>Untersiggenthal</t>
  </si>
  <si>
    <t>Würenlingen</t>
  </si>
  <si>
    <t>Endingen</t>
  </si>
  <si>
    <t>Bezirk Zurzach</t>
  </si>
  <si>
    <t>Tegerfelden</t>
  </si>
  <si>
    <t>Döttingen</t>
  </si>
  <si>
    <t>Klingnau</t>
  </si>
  <si>
    <t>Böttstein</t>
  </si>
  <si>
    <t>Mandach</t>
  </si>
  <si>
    <t>Rietheim</t>
  </si>
  <si>
    <t>Full-Reuenthal</t>
  </si>
  <si>
    <t>Leibstadt</t>
  </si>
  <si>
    <t>Schwaderloch</t>
  </si>
  <si>
    <t>Bad Zurzach</t>
  </si>
  <si>
    <t>Baldingen</t>
  </si>
  <si>
    <t>Böbikon</t>
  </si>
  <si>
    <t>Baden</t>
  </si>
  <si>
    <t>Ennetbaden</t>
  </si>
  <si>
    <t>Gebenstorf</t>
  </si>
  <si>
    <t>Obersiggenthal</t>
  </si>
  <si>
    <t>Ehrendingen</t>
  </si>
  <si>
    <t>Freienwil</t>
  </si>
  <si>
    <t>Schneisingen</t>
  </si>
  <si>
    <t>Wettingen</t>
  </si>
  <si>
    <t>Neuenhof</t>
  </si>
  <si>
    <t>Würenlos</t>
  </si>
  <si>
    <t>Fislisbach</t>
  </si>
  <si>
    <t>Niederrohrdorf</t>
  </si>
  <si>
    <t>Künten</t>
  </si>
  <si>
    <t>Bezirk Bremgarten</t>
  </si>
  <si>
    <t>Remetschwil</t>
  </si>
  <si>
    <t>Bellikon</t>
  </si>
  <si>
    <t>Siglistorf</t>
  </si>
  <si>
    <t>Wislikofen</t>
  </si>
  <si>
    <t>Rümikon</t>
  </si>
  <si>
    <t>Mellikon</t>
  </si>
  <si>
    <t>Kaiserstuhl</t>
  </si>
  <si>
    <t>Fisibach</t>
  </si>
  <si>
    <t>Hunzenschwil</t>
  </si>
  <si>
    <t>Schafisheim</t>
  </si>
  <si>
    <t>Othmarsingen</t>
  </si>
  <si>
    <t>Brunegg</t>
  </si>
  <si>
    <t>Mägenwil</t>
  </si>
  <si>
    <t>Mellingen</t>
  </si>
  <si>
    <t>Wohlenschwil</t>
  </si>
  <si>
    <t>Tägerig</t>
  </si>
  <si>
    <t>Lenzburg</t>
  </si>
  <si>
    <t>Staufen</t>
  </si>
  <si>
    <t>Hendschiken</t>
  </si>
  <si>
    <t>Dottikon</t>
  </si>
  <si>
    <t>Dintikon</t>
  </si>
  <si>
    <t>Hägglingen</t>
  </si>
  <si>
    <t>Villmergen</t>
  </si>
  <si>
    <t>Sarmenstorf</t>
  </si>
  <si>
    <t>Fahrwangen</t>
  </si>
  <si>
    <t>Meisterschwanden</t>
  </si>
  <si>
    <t>Bettwil</t>
  </si>
  <si>
    <t>Bezirk Muri</t>
  </si>
  <si>
    <t>Uezwil</t>
  </si>
  <si>
    <t>Zufikon</t>
  </si>
  <si>
    <t>Waltenschwil</t>
  </si>
  <si>
    <t>Boswil</t>
  </si>
  <si>
    <t>Bünzen</t>
  </si>
  <si>
    <t>Kallern</t>
  </si>
  <si>
    <t>Besenbüren</t>
  </si>
  <si>
    <t>Aristau</t>
  </si>
  <si>
    <t>Buttwil</t>
  </si>
  <si>
    <t>Merenschwand</t>
  </si>
  <si>
    <t>Beinwil (Freiamt)</t>
  </si>
  <si>
    <t>Mühlau</t>
  </si>
  <si>
    <t>Sins</t>
  </si>
  <si>
    <t>Auw</t>
  </si>
  <si>
    <t>Abtwil</t>
  </si>
  <si>
    <t>Oberrüti</t>
  </si>
  <si>
    <t>Niederlenz</t>
  </si>
  <si>
    <t>Seon</t>
  </si>
  <si>
    <t>Egliswil</t>
  </si>
  <si>
    <t>Hallwil</t>
  </si>
  <si>
    <t>Boniswil</t>
  </si>
  <si>
    <t>Seengen</t>
  </si>
  <si>
    <t>Birrwil</t>
  </si>
  <si>
    <t>Beinwil am See</t>
  </si>
  <si>
    <t>Gränichen</t>
  </si>
  <si>
    <t>Dürrenäsch</t>
  </si>
  <si>
    <t>Leutwil</t>
  </si>
  <si>
    <t>Unterkulm</t>
  </si>
  <si>
    <t>Oberkulm</t>
  </si>
  <si>
    <t>Gontenschwil</t>
  </si>
  <si>
    <t>Zetzwil</t>
  </si>
  <si>
    <t>Menziken</t>
  </si>
  <si>
    <t>Kölliken</t>
  </si>
  <si>
    <t>Safenwil</t>
  </si>
  <si>
    <t>Dietwil</t>
  </si>
  <si>
    <t>Jonen</t>
  </si>
  <si>
    <t>Oberlunkhofen</t>
  </si>
  <si>
    <t>Unterlunkhofen</t>
  </si>
  <si>
    <t>Rottenschwil</t>
  </si>
  <si>
    <t>Killwangen</t>
  </si>
  <si>
    <t>Spreitenbach</t>
  </si>
  <si>
    <t>Bergdietikon</t>
  </si>
  <si>
    <t>Rudolfstetten-Friedlisberg</t>
  </si>
  <si>
    <t>Berikon</t>
  </si>
  <si>
    <t>Oberwil-Lieli</t>
  </si>
  <si>
    <t>Widen</t>
  </si>
  <si>
    <t>Stein</t>
  </si>
  <si>
    <t>Münchwilen</t>
  </si>
  <si>
    <t>Erlinsbach</t>
  </si>
  <si>
    <t>Buchs</t>
  </si>
  <si>
    <t>Veltheim</t>
  </si>
  <si>
    <t>Thalheim</t>
  </si>
  <si>
    <t>Holderbank</t>
  </si>
  <si>
    <t>Hausen</t>
  </si>
  <si>
    <t>Rekingen</t>
  </si>
  <si>
    <t>Birmenstorf</t>
  </si>
  <si>
    <t>Lengnau</t>
  </si>
  <si>
    <t>Niederwil</t>
  </si>
  <si>
    <t>Stetten</t>
  </si>
  <si>
    <t>Wohlen</t>
  </si>
  <si>
    <t>Bremgarten</t>
  </si>
  <si>
    <t>Muri</t>
  </si>
  <si>
    <t>Teufenthal</t>
  </si>
  <si>
    <t>Leimbach</t>
  </si>
  <si>
    <t>Reinach</t>
  </si>
  <si>
    <t>Burg</t>
  </si>
  <si>
    <t>Arni</t>
  </si>
  <si>
    <t>Krankenkassenprämien</t>
  </si>
  <si>
    <t>TEXT(E4;"JJJJ")</t>
  </si>
  <si>
    <t>&lt;- 15.11.2017 eintragen</t>
  </si>
  <si>
    <t>&lt;- Irgendwo Info, bei grossem Überschuss? Hinweis auf Ablösung etc.?</t>
  </si>
  <si>
    <t>Rückerstattung Sozialhilfe</t>
  </si>
  <si>
    <t>davon rückerstattungspflichtig</t>
  </si>
  <si>
    <t>&lt;- Berechnungsblatt für 8 Personen erstellt - zwei jeweils ausblenden aus Platzgründen</t>
  </si>
  <si>
    <t>Total Sozialhilfeschuld aus Berechnungsblatt</t>
  </si>
  <si>
    <t>&lt;- Zusatzinfo…</t>
  </si>
  <si>
    <t>Berechnung Rückerstattungspflicht für aktuellen Monat</t>
  </si>
  <si>
    <t>(ohne für Minderjährige ausbezahlte Beträge)</t>
  </si>
  <si>
    <t>Welche Anpassungen sind für die SEBA-Version nötig?</t>
  </si>
  <si>
    <t>&lt;- Titel oben noch anpassen. Version für N am Schluss erstellen</t>
  </si>
  <si>
    <t xml:space="preserve">N-Nummer </t>
  </si>
  <si>
    <t xml:space="preserve">AG-Nummer </t>
  </si>
  <si>
    <t xml:space="preserve">Taschengeld
</t>
  </si>
  <si>
    <t>&lt;- Braucht es die Info für die Pauschalen pro Tag? (eingefügt - sieht aber irgendwie komisch aus)</t>
  </si>
  <si>
    <t>Anrechenbares Einkommen aus dem aktuellen Berechnungsblatt</t>
  </si>
  <si>
    <t>rückerstattungpflichtig nach Anrechnung des Einkommens</t>
  </si>
  <si>
    <t xml:space="preserve">Diese Berechnung enthält keine sitiuationsbedingten Leistungen sowie keine ÖV-Tickets, </t>
  </si>
  <si>
    <t>Arztrechnungen oder Kosten, die in der Wohngemeinde zusätzlich aufgewendet wurden.</t>
  </si>
  <si>
    <t>1.1.</t>
  </si>
  <si>
    <t>Prämie</t>
  </si>
  <si>
    <t>&lt;- wird neu auf 5 Rappen gerundet</t>
  </si>
  <si>
    <t>Auflistung Krankenkassenprämien der im Berechnungsblatt enthaltenen Personen</t>
  </si>
  <si>
    <t>Anrechenbares Einkommen Total</t>
  </si>
  <si>
    <t>6-15 Jahre</t>
  </si>
  <si>
    <t>Wird nur bei Anpassung ab zukünftigem Datum benötigt</t>
  </si>
  <si>
    <t>Verrechnung auf QA</t>
  </si>
  <si>
    <t>Zeile ausblenden</t>
  </si>
  <si>
    <t>Achtung. Zeilen von blauem Teil sind evtl. ausgeblendet</t>
  </si>
  <si>
    <t>ab hier ausblenden</t>
  </si>
  <si>
    <t>ksd.rechnungswesen@ag.ch</t>
  </si>
  <si>
    <t>Zelle ausblenden</t>
  </si>
  <si>
    <t>Arbeitgeber und /
oder Infos zur
Lohnabrechnung</t>
  </si>
  <si>
    <t>Betrifft (Name, Vorname)</t>
  </si>
  <si>
    <t xml:space="preserve"> Beschreibung der Korrektur</t>
  </si>
  <si>
    <r>
      <t xml:space="preserve">Pensum
</t>
    </r>
    <r>
      <rPr>
        <b/>
        <sz val="11"/>
        <color theme="1"/>
        <rFont val="Arial"/>
        <family val="2"/>
      </rPr>
      <t xml:space="preserve">Praktikum (IZU)
</t>
    </r>
    <r>
      <rPr>
        <sz val="9"/>
        <color theme="1"/>
        <rFont val="Arial"/>
        <family val="2"/>
      </rPr>
      <t>(100% = Fr. 200.00)</t>
    </r>
  </si>
  <si>
    <t xml:space="preserve">  bei Beispielen aufführen?</t>
  </si>
  <si>
    <t>Abzug für Abwesenheit</t>
  </si>
  <si>
    <t>Die Gemeinde stellt Ihnen eine Rechnung zu</t>
  </si>
  <si>
    <t>Der Kantonale Sozialdienst stellt Ihnen eine Rechnung zu</t>
  </si>
  <si>
    <t>Info zu Überschuss oben bei Überschuss</t>
  </si>
  <si>
    <t xml:space="preserve">  bei Beispielen ausfüllen / erklären</t>
  </si>
  <si>
    <t xml:space="preserve">  ausblenden bei Gemeinden? Nur SEBA?</t>
  </si>
  <si>
    <t>Bitte begleichen Sie diese Rechnungen so rasch wie möglich</t>
  </si>
  <si>
    <t>Bitte begleichen Sie diese Rechnung so rasch wie möglich</t>
  </si>
  <si>
    <t>Reto,  Fr. 10.00</t>
  </si>
  <si>
    <t>Wohnkosten / Miete / Unterbringung</t>
  </si>
  <si>
    <t>Nur "versuchsweise" hier aufgeführt, da dies in Zukunft ebenfalls hilfreich sein könnte.</t>
  </si>
  <si>
    <t>Ist aber evtl. aus Sicht der Gemeinde nicht sinnvoll, da die Gemeinde andere Kosten verbucht</t>
  </si>
  <si>
    <t>Pauschalen Total</t>
  </si>
  <si>
    <t xml:space="preserve"> </t>
  </si>
  <si>
    <t>weitere Einnahmen erscheinen nur, wenn etwas eingetragen wird</t>
  </si>
  <si>
    <t xml:space="preserve">  Beispiele aufführen</t>
  </si>
  <si>
    <t>Berechnung Krankenkassenprämien</t>
  </si>
  <si>
    <t>Berechnung Krankenkasse ab Spalte AV (jährlich aktualisieren)</t>
  </si>
  <si>
    <t xml:space="preserve">   &lt;- Hier kann die Info für die Mietrechnung angepasst werden (Siehe Zelle C157)</t>
  </si>
  <si>
    <t xml:space="preserve">&lt;- Für die KU-Budgets wird hier dann </t>
  </si>
  <si>
    <t>Berechnung erstellt am:</t>
  </si>
  <si>
    <t>Sektion Betreuung</t>
  </si>
  <si>
    <t>Sozialdienst, Gemeinde, Kontaktperson, Telefon / E-Mail</t>
  </si>
  <si>
    <t xml:space="preserve">   &lt;- Kontaktperson für KSD (auch für Klient relevant?)</t>
  </si>
  <si>
    <t>&lt;- Hier je nachdem noch Kontaktinfo der Gemeinde aufführen</t>
  </si>
  <si>
    <t xml:space="preserve">    (als Info für Klienten)</t>
  </si>
  <si>
    <t>Betrag mit '</t>
  </si>
  <si>
    <t>Betrag ohne '</t>
  </si>
  <si>
    <t>Text für Budget</t>
  </si>
  <si>
    <t xml:space="preserve">  &lt;- Evt. Reihenfolge ändern für SEBA (weitere Einnahmen nach ÖV-Tickets)</t>
  </si>
  <si>
    <t>&lt;- QA-Verrechnung evt. ausblenden für SEBA</t>
  </si>
  <si>
    <t>&lt;- Möglichkeit zur Info zu Verfügung</t>
  </si>
  <si>
    <t>&lt;- SEBA: Adresse und Kontaktinfo</t>
  </si>
  <si>
    <t xml:space="preserve">   &lt;- Platz für Visum SEBA noch einfügen</t>
  </si>
  <si>
    <t xml:space="preserve">     das Kleidergeld ausgerechnet (Anzahl Personen x Fr. 20.00)</t>
  </si>
  <si>
    <t>Verpflegungsabzug Arbeitgeber</t>
  </si>
  <si>
    <t>andere Einnahmen</t>
  </si>
  <si>
    <t>Verpflegungsabzug
Arbeitgeber</t>
  </si>
  <si>
    <t>vorzunehmende Anpassungen für die SEBA</t>
  </si>
  <si>
    <t>Rechnungs-Versand</t>
  </si>
  <si>
    <t>Monat</t>
  </si>
  <si>
    <t>Jahr</t>
  </si>
  <si>
    <t>für Infotext unten</t>
  </si>
  <si>
    <t>Benützungsgebühr Unterkunft</t>
  </si>
  <si>
    <t>Erstellt am</t>
  </si>
  <si>
    <t>Anzahl Tage für Berechnung</t>
  </si>
  <si>
    <t>Ali</t>
  </si>
  <si>
    <t>Mohammed</t>
  </si>
  <si>
    <t>&lt;- Miete kann für SEBA automatisch anhand der Anzahl Personen eingetragen werden</t>
  </si>
  <si>
    <t>Abo für Arbeitsweg</t>
  </si>
  <si>
    <t>Erwerbsunkosten</t>
  </si>
  <si>
    <t>IPV</t>
  </si>
  <si>
    <r>
      <t xml:space="preserve">Pensum
</t>
    </r>
    <r>
      <rPr>
        <b/>
        <sz val="11"/>
        <color theme="1"/>
        <rFont val="Arial"/>
        <family val="2"/>
      </rPr>
      <t xml:space="preserve">Erwerb / Anstellung
</t>
    </r>
    <r>
      <rPr>
        <sz val="9"/>
        <color theme="1"/>
        <rFont val="Arial"/>
        <family val="2"/>
      </rPr>
      <t>(100% = Fr. 400.00)</t>
    </r>
  </si>
  <si>
    <r>
      <t xml:space="preserve">Krankenkassen-
Prämie
</t>
    </r>
    <r>
      <rPr>
        <b/>
        <sz val="9"/>
        <color theme="1"/>
        <rFont val="Arial"/>
        <family val="2"/>
      </rPr>
      <t>(Betrag prüfen)</t>
    </r>
  </si>
  <si>
    <t>ausblenden</t>
  </si>
  <si>
    <t>ab 6 Jahren</t>
  </si>
  <si>
    <t xml:space="preserve"> Fr. 1.00 pro Tag</t>
  </si>
  <si>
    <t>Erstellt durch</t>
  </si>
  <si>
    <t>Aufgrund dieser Berechnung müssen Sie sich in diesem Monat nicht an den Kosten… beteiligen</t>
  </si>
  <si>
    <t>Aufgrund der Berechnung erfolgt durch Sie in diesem Monat keine Beteiligung an den Kosten für Miete und Krankenkasse.</t>
  </si>
  <si>
    <t>IPV für Dropdown</t>
  </si>
  <si>
    <t xml:space="preserve"> IPV?</t>
  </si>
  <si>
    <t>Berechnungsblatt materielle Hilfe</t>
  </si>
  <si>
    <t>Vorläufig aufgenommene Ausländerinnen und Ausländer (Ausweis F)</t>
  </si>
  <si>
    <t>Schutzbedürftige ohne Aufenthaltsbewilligung (Status S)</t>
  </si>
  <si>
    <t>gemäss Sozialhilfe- und Präventionsverordnung (SPG / SPV)</t>
  </si>
  <si>
    <t>Lebensunterhalt pro  Tag und pro Person …</t>
  </si>
  <si>
    <t>Seite 1 = Details für die Berechnung für die Gemeinden und das Rechnungswesen KSD</t>
  </si>
  <si>
    <t>Seite 2 = zur Abgabe an die Klienten mit allen wichtigen Informationen</t>
  </si>
  <si>
    <t>Mohammed Ali</t>
  </si>
  <si>
    <t>Junior</t>
  </si>
  <si>
    <t>Laila</t>
  </si>
  <si>
    <t>Versicherungsleistungen (ALV, SUVA, EO etc.)</t>
  </si>
  <si>
    <t>nachträglich erhaltene Kinderzulagen</t>
  </si>
  <si>
    <t>im Voraus bezahlte Asyl-Sozialhilfe</t>
  </si>
  <si>
    <t>auswärtige Verpflegung
pro Arbeitstag</t>
  </si>
  <si>
    <t xml:space="preserve"> Grundbedarf</t>
  </si>
  <si>
    <t xml:space="preserve"> Total</t>
  </si>
  <si>
    <t xml:space="preserve"> Einnahmen</t>
  </si>
  <si>
    <t xml:space="preserve"> Arbeitsbedingte Ausgaben</t>
  </si>
  <si>
    <t xml:space="preserve"> weitere Einnahmen</t>
  </si>
  <si>
    <t xml:space="preserve"> Korrekturen / SIL </t>
  </si>
  <si>
    <t xml:space="preserve">  siehe Register "Beispiele"</t>
  </si>
  <si>
    <t xml:space="preserve"> Bemerkungen</t>
  </si>
  <si>
    <t xml:space="preserve"> Dossierstatus</t>
  </si>
  <si>
    <t xml:space="preserve"> Alternativtext für Miete</t>
  </si>
  <si>
    <t xml:space="preserve"> Berechnung erstellt durch</t>
  </si>
  <si>
    <t>Bargeld-Unterstützung</t>
  </si>
  <si>
    <t>Kind?</t>
  </si>
  <si>
    <t>Kind? (relevant für Prämie für das 3. Kind)</t>
  </si>
  <si>
    <t>&lt;- Prämie für 3. Kind</t>
  </si>
  <si>
    <r>
      <t xml:space="preserve">weiterer Grundbedarf </t>
    </r>
    <r>
      <rPr>
        <sz val="13"/>
        <color theme="1"/>
        <rFont val="Arial"/>
        <family val="2"/>
      </rPr>
      <t>(zusätzlich zu den Pauschalen)</t>
    </r>
  </si>
  <si>
    <t>Miete in KU</t>
  </si>
  <si>
    <t>&lt;- Zahlen für 2025 angepasst</t>
  </si>
  <si>
    <t xml:space="preserve">Korrekturbetrag (+/-) </t>
  </si>
  <si>
    <t>0-15 Jahre, Fr. 8.50 pro Tag</t>
  </si>
  <si>
    <t>ab 16 Jahren, Fr. 9.00 pro Tag</t>
  </si>
  <si>
    <r>
      <t xml:space="preserve">EFB / IZU
</t>
    </r>
    <r>
      <rPr>
        <sz val="9"/>
        <color theme="1"/>
        <rFont val="Arial"/>
        <family val="2"/>
      </rPr>
      <t>(Freibetrag / Zulage)</t>
    </r>
  </si>
  <si>
    <t>gemäss Sozialhilfe- und Präventionsgesetz / Sozialhilfe- und Präventionsverordnung (SPG / SPV)</t>
  </si>
  <si>
    <r>
      <t xml:space="preserve">Pensum
</t>
    </r>
    <r>
      <rPr>
        <b/>
        <sz val="11"/>
        <color theme="1"/>
        <rFont val="Arial"/>
        <family val="2"/>
      </rPr>
      <t xml:space="preserve">Berufslehre
</t>
    </r>
    <r>
      <rPr>
        <sz val="9"/>
        <color theme="1"/>
        <rFont val="Arial"/>
        <family val="2"/>
      </rPr>
      <t>(100% = Fr. 200.00)</t>
    </r>
  </si>
  <si>
    <r>
      <t xml:space="preserve">Erwerbsunkosten / ÖV-Tickets für den Arbeitsweg                                                                             </t>
    </r>
    <r>
      <rPr>
        <sz val="11"/>
        <color theme="0" tint="-0.14999847407452621"/>
        <rFont val="Arial"/>
        <family val="2"/>
      </rPr>
      <t xml:space="preserve">     Lückenfüller
</t>
    </r>
    <r>
      <rPr>
        <sz val="11"/>
        <color theme="1"/>
        <rFont val="Arial"/>
        <family val="2"/>
      </rPr>
      <t xml:space="preserve">                  Betrag           Erklärung und Details                                                                              </t>
    </r>
    <r>
      <rPr>
        <sz val="11"/>
        <color theme="0" tint="-0.14999847407452621"/>
        <rFont val="Arial"/>
        <family val="2"/>
      </rPr>
      <t>Lückenfüller</t>
    </r>
    <r>
      <rPr>
        <sz val="11"/>
        <color theme="1"/>
        <rFont val="Arial"/>
        <family val="2"/>
      </rPr>
      <t xml:space="preserve">      </t>
    </r>
    <r>
      <rPr>
        <sz val="9"/>
        <color theme="1"/>
        <rFont val="Arial"/>
        <family val="2"/>
      </rPr>
      <t xml:space="preserve">                                                              </t>
    </r>
  </si>
  <si>
    <t>Einkommen
(Betrag in Fr.)</t>
  </si>
  <si>
    <t>Haushaltsentschädigng / Konkubinatsbeitrag</t>
  </si>
  <si>
    <t>Grundbedarf Total</t>
  </si>
  <si>
    <r>
      <t xml:space="preserve">… </t>
    </r>
    <r>
      <rPr>
        <b/>
        <sz val="11"/>
        <color theme="1"/>
        <rFont val="Arial"/>
        <family val="2"/>
      </rPr>
      <t>oder</t>
    </r>
    <r>
      <rPr>
        <sz val="11"/>
        <color theme="1"/>
        <rFont val="Arial"/>
        <family val="2"/>
      </rPr>
      <t xml:space="preserve"> Total 
Lebensunterhalt für die
Unterstützungseinheit</t>
    </r>
  </si>
  <si>
    <t>gelb = Daten / Zahlen eingeben</t>
  </si>
  <si>
    <t>hellgelb = Details / Informationen eingeben</t>
  </si>
  <si>
    <t>Versenden:   Datei -&gt;   Freigeben -&gt;   PDF</t>
  </si>
  <si>
    <t>mohammed.ali@gmail.com</t>
  </si>
  <si>
    <t>Lohn Januar 2025</t>
  </si>
  <si>
    <t>Überschuss Januar 2025</t>
  </si>
  <si>
    <t>Spielgruppe, Januar 2025, gemäss Kostengutsprache</t>
  </si>
  <si>
    <t>Register "Beispiel" löschen, falls diese</t>
  </si>
  <si>
    <t>leere Seite beim Ausdruck stört</t>
  </si>
  <si>
    <t>Ausweis F/S</t>
  </si>
  <si>
    <t>Ausweis N</t>
  </si>
  <si>
    <t>Auswahl Status</t>
  </si>
  <si>
    <t>Formeln anpassen, wenn Freibeträge F/N/S ändern</t>
  </si>
  <si>
    <t>&lt;- Wert für Anzeige Überschuss (für Formel in E27)</t>
  </si>
  <si>
    <r>
      <t xml:space="preserve"> </t>
    </r>
    <r>
      <rPr>
        <sz val="11"/>
        <color theme="1"/>
        <rFont val="Wingdings 3"/>
        <family val="1"/>
        <charset val="2"/>
      </rPr>
      <t>Ù</t>
    </r>
  </si>
  <si>
    <t>Rechnungs-Versand:</t>
  </si>
  <si>
    <t>Felder mit Kommentaren beachten:</t>
  </si>
  <si>
    <t>Austrasse 1</t>
  </si>
  <si>
    <t xml:space="preserve"> Arbeitsbedingte Ausgaben
 / ÖV</t>
  </si>
  <si>
    <r>
      <t xml:space="preserve">Erwerbsunkosten / Verkehrsauslagen                                                                                              </t>
    </r>
    <r>
      <rPr>
        <sz val="11"/>
        <color theme="0" tint="-0.14999847407452621"/>
        <rFont val="Arial"/>
        <family val="2"/>
      </rPr>
      <t xml:space="preserve">     Lückenfüller
</t>
    </r>
    <r>
      <rPr>
        <sz val="11"/>
        <color theme="1"/>
        <rFont val="Arial"/>
        <family val="2"/>
      </rPr>
      <t xml:space="preserve">                  Betrag           Erklärung und Details                                                                              </t>
    </r>
    <r>
      <rPr>
        <sz val="11"/>
        <color theme="0" tint="-0.14999847407452621"/>
        <rFont val="Arial"/>
        <family val="2"/>
      </rPr>
      <t>Lückenfüller</t>
    </r>
    <r>
      <rPr>
        <sz val="11"/>
        <color theme="1"/>
        <rFont val="Arial"/>
        <family val="2"/>
      </rPr>
      <t xml:space="preserve">      </t>
    </r>
    <r>
      <rPr>
        <sz val="9"/>
        <color theme="1"/>
        <rFont val="Arial"/>
        <family val="2"/>
      </rPr>
      <t xml:space="preserve">                                                              </t>
    </r>
  </si>
  <si>
    <t>Prüfung, ob jemand im aktuellen Monat 6 oder 16 Jahre alt wird:</t>
  </si>
  <si>
    <t>&lt;- Monat und Jahr des Budgets</t>
  </si>
  <si>
    <t>6 Jahre alt</t>
  </si>
  <si>
    <t>16 Jahre alt</t>
  </si>
  <si>
    <t>Achtung</t>
  </si>
  <si>
    <t>Geb.-Monat</t>
  </si>
  <si>
    <t>Geb.-Jahr</t>
  </si>
  <si>
    <t>Verkettung Monat-Jahr</t>
  </si>
  <si>
    <t>6 Jahre</t>
  </si>
  <si>
    <t>16 Jahre</t>
  </si>
  <si>
    <t>berechnungsrelevanter Geburtstag (wenn höher als 0) -&gt;</t>
  </si>
  <si>
    <t>&lt;- redundant</t>
  </si>
  <si>
    <t>&lt; Datum immer anpassen im neuen Jahr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</si>
</sst>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mmmm\ yyyy"/>
    <numFmt numFmtId="165" formatCode="###,###"/>
    <numFmt numFmtId="166" formatCode="_ &quot;Fr.&quot;\ * #,##0.00_ ;_ &quot;Fr.&quot;\ * \-#,##0.00_ ;_ &quot;Fr.&quot;\ * &quot;-&quot;??_ ;_ @_ "/>
    <numFmt numFmtId="167" formatCode="###"/>
  </numFmts>
  <fonts count="42" x14ac:knownFonts="1">
    <font>
      <sz val="11"/>
      <color theme="1"/>
      <name val="Arial"/>
      <family val="2"/>
    </font>
    <font>
      <sz val="11"/>
      <color theme="1"/>
      <name val="Arial"/>
      <family val="2"/>
    </font>
    <font>
      <b/>
      <sz val="11"/>
      <color theme="0"/>
      <name val="Arial"/>
      <family val="2"/>
    </font>
    <font>
      <sz val="11"/>
      <color rgb="FFFF0000"/>
      <name val="Arial"/>
      <family val="2"/>
    </font>
    <font>
      <b/>
      <sz val="11"/>
      <color theme="1"/>
      <name val="Arial"/>
      <family val="2"/>
    </font>
    <font>
      <sz val="11"/>
      <color theme="0"/>
      <name val="Arial"/>
      <family val="2"/>
    </font>
    <font>
      <sz val="7"/>
      <color theme="1"/>
      <name val="Arial"/>
      <family val="2"/>
    </font>
    <font>
      <i/>
      <sz val="11"/>
      <color theme="1"/>
      <name val="Arial"/>
      <family val="2"/>
    </font>
    <font>
      <i/>
      <sz val="9"/>
      <color theme="1"/>
      <name val="Arial"/>
      <family val="2"/>
    </font>
    <font>
      <sz val="8"/>
      <color theme="1"/>
      <name val="Arial"/>
      <family val="2"/>
    </font>
    <font>
      <b/>
      <sz val="11"/>
      <color rgb="FFFF0000"/>
      <name val="Arial"/>
      <family val="2"/>
    </font>
    <font>
      <b/>
      <sz val="10"/>
      <color rgb="FFFF0000"/>
      <name val="Arial"/>
      <family val="2"/>
    </font>
    <font>
      <b/>
      <i/>
      <sz val="11"/>
      <color theme="1"/>
      <name val="Arial"/>
      <family val="2"/>
    </font>
    <font>
      <i/>
      <sz val="8"/>
      <color theme="1"/>
      <name val="Arial"/>
      <family val="2"/>
    </font>
    <font>
      <sz val="9"/>
      <color theme="1"/>
      <name val="Arial"/>
      <family val="2"/>
    </font>
    <font>
      <sz val="8"/>
      <color rgb="FF1E1E1E"/>
      <name val="Segoe UI"/>
      <family val="2"/>
    </font>
    <font>
      <u/>
      <sz val="11"/>
      <color theme="10"/>
      <name val="Arial"/>
      <family val="2"/>
    </font>
    <font>
      <b/>
      <sz val="8"/>
      <color rgb="FF000000"/>
      <name val="Verdana"/>
      <family val="2"/>
    </font>
    <font>
      <b/>
      <sz val="15"/>
      <color theme="1"/>
      <name val="Arial"/>
      <family val="2"/>
    </font>
    <font>
      <b/>
      <sz val="11"/>
      <color rgb="FF000000"/>
      <name val="Arial"/>
      <family val="2"/>
    </font>
    <font>
      <sz val="11"/>
      <color rgb="FF000000"/>
      <name val="Arial"/>
      <family val="2"/>
    </font>
    <font>
      <sz val="11"/>
      <color theme="0" tint="-0.14999847407452621"/>
      <name val="Arial"/>
      <family val="2"/>
    </font>
    <font>
      <sz val="10"/>
      <color theme="3"/>
      <name val="Arial"/>
      <family val="2"/>
    </font>
    <font>
      <b/>
      <sz val="11"/>
      <color rgb="FFC00000"/>
      <name val="Arial"/>
      <family val="2"/>
    </font>
    <font>
      <b/>
      <sz val="9"/>
      <color theme="1"/>
      <name val="Arial"/>
      <family val="2"/>
    </font>
    <font>
      <b/>
      <sz val="10"/>
      <color rgb="FFC00000"/>
      <name val="Arial"/>
      <family val="2"/>
    </font>
    <font>
      <sz val="10"/>
      <color theme="1"/>
      <name val="Arial"/>
      <family val="2"/>
    </font>
    <font>
      <b/>
      <sz val="13"/>
      <color theme="1"/>
      <name val="Arial"/>
      <family val="2"/>
    </font>
    <font>
      <sz val="13"/>
      <color theme="1"/>
      <name val="Arial"/>
      <family val="2"/>
    </font>
    <font>
      <sz val="13"/>
      <color rgb="FFFF0000"/>
      <name val="Arial"/>
      <family val="2"/>
    </font>
    <font>
      <b/>
      <sz val="13"/>
      <color rgb="FFFF0000"/>
      <name val="Arial"/>
      <family val="2"/>
    </font>
    <font>
      <i/>
      <sz val="13"/>
      <color theme="1"/>
      <name val="Arial"/>
      <family val="2"/>
    </font>
    <font>
      <b/>
      <sz val="13"/>
      <color theme="0"/>
      <name val="Arial"/>
      <family val="2"/>
    </font>
    <font>
      <b/>
      <sz val="13"/>
      <name val="Arial"/>
      <family val="2"/>
    </font>
    <font>
      <sz val="13"/>
      <color theme="0"/>
      <name val="Arial"/>
      <family val="2"/>
    </font>
    <font>
      <i/>
      <sz val="13"/>
      <color rgb="FFFF0000"/>
      <name val="Arial"/>
      <family val="2"/>
    </font>
    <font>
      <b/>
      <sz val="8"/>
      <color rgb="FFFF0000"/>
      <name val="Arial"/>
      <family val="2"/>
    </font>
    <font>
      <sz val="11"/>
      <color theme="0" tint="-0.249977111117893"/>
      <name val="Arial"/>
      <family val="2"/>
    </font>
    <font>
      <sz val="11"/>
      <color rgb="FFC00000"/>
      <name val="Arial"/>
      <family val="2"/>
    </font>
    <font>
      <sz val="11"/>
      <color theme="1"/>
      <name val="Wingdings"/>
      <charset val="2"/>
    </font>
    <font>
      <sz val="11"/>
      <color theme="1"/>
      <name val="Wingdings 3"/>
      <family val="1"/>
      <charset val="2"/>
    </font>
    <font>
      <sz val="10"/>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FAEB"/>
        <bgColor indexed="64"/>
      </patternFill>
    </fill>
    <fill>
      <patternFill patternType="solid">
        <fgColor theme="0"/>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49998474074526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353">
    <xf numFmtId="0" fontId="0" fillId="0" borderId="0" xfId="0"/>
    <xf numFmtId="0" fontId="0" fillId="0" borderId="0" xfId="0" applyAlignment="1">
      <alignment horizontal="right"/>
    </xf>
    <xf numFmtId="0" fontId="0" fillId="0" borderId="0" xfId="0" applyAlignment="1">
      <alignment horizontal="left" vertical="top"/>
    </xf>
    <xf numFmtId="0" fontId="0" fillId="2" borderId="3" xfId="0" applyFill="1" applyBorder="1" applyAlignment="1">
      <alignment horizontal="right" vertical="top" wrapText="1"/>
    </xf>
    <xf numFmtId="0" fontId="0" fillId="2" borderId="9" xfId="0" applyFill="1" applyBorder="1" applyAlignment="1">
      <alignment horizontal="right" vertical="top" wrapText="1"/>
    </xf>
    <xf numFmtId="4" fontId="0" fillId="0" borderId="5" xfId="0" applyNumberFormat="1" applyBorder="1"/>
    <xf numFmtId="0" fontId="0" fillId="2" borderId="2" xfId="0" applyFill="1" applyBorder="1" applyAlignment="1">
      <alignment horizontal="center" vertical="top" wrapText="1"/>
    </xf>
    <xf numFmtId="9" fontId="0" fillId="3" borderId="0" xfId="1" applyFont="1" applyFill="1" applyBorder="1" applyAlignment="1" applyProtection="1">
      <alignment horizontal="center"/>
      <protection locked="0"/>
    </xf>
    <xf numFmtId="166" fontId="0" fillId="0" borderId="5" xfId="0" applyNumberFormat="1" applyBorder="1"/>
    <xf numFmtId="166" fontId="0" fillId="3" borderId="3" xfId="0" applyNumberFormat="1" applyFill="1" applyBorder="1" applyProtection="1">
      <protection locked="0"/>
    </xf>
    <xf numFmtId="166" fontId="0" fillId="3" borderId="5" xfId="0" applyNumberFormat="1" applyFill="1" applyBorder="1" applyProtection="1">
      <protection locked="0"/>
    </xf>
    <xf numFmtId="166" fontId="0" fillId="3" borderId="8" xfId="0" applyNumberFormat="1" applyFill="1" applyBorder="1" applyProtection="1">
      <protection locked="0"/>
    </xf>
    <xf numFmtId="166" fontId="0" fillId="3" borderId="10" xfId="0" applyNumberFormat="1" applyFill="1" applyBorder="1" applyAlignment="1" applyProtection="1">
      <alignment horizontal="right"/>
      <protection locked="0"/>
    </xf>
    <xf numFmtId="0" fontId="0" fillId="2" borderId="1" xfId="0" applyFill="1" applyBorder="1" applyAlignment="1">
      <alignment horizontal="right" vertical="top" wrapText="1"/>
    </xf>
    <xf numFmtId="0" fontId="0" fillId="2" borderId="9" xfId="0" applyFill="1" applyBorder="1" applyAlignment="1">
      <alignment horizontal="center" vertical="top" wrapText="1"/>
    </xf>
    <xf numFmtId="4" fontId="2" fillId="0" borderId="5" xfId="0" applyNumberFormat="1" applyFont="1" applyBorder="1" applyAlignment="1">
      <alignment horizontal="right"/>
    </xf>
    <xf numFmtId="4" fontId="11" fillId="0" borderId="5" xfId="0" applyNumberFormat="1" applyFont="1" applyBorder="1" applyAlignment="1">
      <alignment horizontal="right"/>
    </xf>
    <xf numFmtId="4" fontId="4" fillId="0" borderId="5" xfId="0" applyNumberFormat="1" applyFont="1" applyBorder="1" applyAlignment="1">
      <alignment horizontal="right"/>
    </xf>
    <xf numFmtId="166" fontId="4" fillId="2" borderId="8" xfId="0" applyNumberFormat="1" applyFont="1" applyFill="1" applyBorder="1"/>
    <xf numFmtId="0" fontId="0" fillId="0" borderId="10" xfId="0" applyBorder="1" applyAlignment="1">
      <alignment horizontal="right"/>
    </xf>
    <xf numFmtId="166" fontId="4" fillId="2" borderId="11" xfId="0" applyNumberFormat="1" applyFont="1" applyFill="1" applyBorder="1" applyAlignment="1">
      <alignment horizontal="right"/>
    </xf>
    <xf numFmtId="0" fontId="3" fillId="0" borderId="0" xfId="0" applyFont="1"/>
    <xf numFmtId="0" fontId="0" fillId="7" borderId="0" xfId="0" applyFill="1"/>
    <xf numFmtId="4" fontId="0" fillId="0" borderId="0" xfId="0" applyNumberFormat="1"/>
    <xf numFmtId="0" fontId="0" fillId="0" borderId="7" xfId="0" applyBorder="1"/>
    <xf numFmtId="0" fontId="0" fillId="0" borderId="7" xfId="0" applyBorder="1" applyAlignment="1">
      <alignment horizontal="right"/>
    </xf>
    <xf numFmtId="0" fontId="0" fillId="0" borderId="8" xfId="0" applyBorder="1"/>
    <xf numFmtId="0" fontId="4" fillId="8" borderId="0" xfId="0" applyFont="1" applyFill="1"/>
    <xf numFmtId="0" fontId="7" fillId="0" borderId="4" xfId="0" applyFont="1" applyBorder="1"/>
    <xf numFmtId="4" fontId="4" fillId="0" borderId="0" xfId="0" applyNumberFormat="1" applyFont="1" applyAlignment="1">
      <alignment horizontal="right"/>
    </xf>
    <xf numFmtId="0" fontId="0" fillId="2" borderId="1" xfId="0" applyFill="1" applyBorder="1"/>
    <xf numFmtId="0" fontId="0" fillId="2" borderId="2" xfId="0" applyFill="1" applyBorder="1"/>
    <xf numFmtId="0" fontId="0" fillId="2" borderId="3" xfId="0" applyFill="1" applyBorder="1"/>
    <xf numFmtId="4" fontId="11" fillId="0" borderId="6" xfId="0" applyNumberFormat="1" applyFont="1" applyBorder="1" applyAlignment="1">
      <alignment horizontal="left"/>
    </xf>
    <xf numFmtId="9" fontId="0" fillId="0" borderId="7" xfId="0" applyNumberFormat="1" applyBorder="1" applyAlignment="1">
      <alignment horizontal="center"/>
    </xf>
    <xf numFmtId="166" fontId="4" fillId="0" borderId="8" xfId="0" applyNumberFormat="1" applyFont="1" applyBorder="1"/>
    <xf numFmtId="166" fontId="0" fillId="0" borderId="8" xfId="0" applyNumberFormat="1" applyBorder="1"/>
    <xf numFmtId="4" fontId="0" fillId="0" borderId="1" xfId="0" applyNumberFormat="1" applyBorder="1"/>
    <xf numFmtId="4" fontId="0" fillId="0" borderId="2" xfId="0" applyNumberFormat="1" applyBorder="1"/>
    <xf numFmtId="4" fontId="0" fillId="0" borderId="4" xfId="0" applyNumberFormat="1" applyBorder="1"/>
    <xf numFmtId="4" fontId="0" fillId="0" borderId="6" xfId="0" applyNumberFormat="1" applyBorder="1"/>
    <xf numFmtId="4" fontId="0" fillId="0" borderId="7" xfId="0" applyNumberFormat="1" applyBorder="1"/>
    <xf numFmtId="0" fontId="0" fillId="2" borderId="0" xfId="0" applyFill="1" applyAlignment="1">
      <alignment horizontal="center" vertical="top" wrapText="1"/>
    </xf>
    <xf numFmtId="3" fontId="0" fillId="0" borderId="0" xfId="0" applyNumberFormat="1" applyAlignment="1">
      <alignment horizontal="center"/>
    </xf>
    <xf numFmtId="17" fontId="0" fillId="0" borderId="0" xfId="0" applyNumberFormat="1"/>
    <xf numFmtId="0" fontId="4" fillId="7" borderId="0" xfId="0" applyFont="1" applyFill="1"/>
    <xf numFmtId="0" fontId="0" fillId="2" borderId="0" xfId="0" applyFill="1" applyAlignment="1">
      <alignment horizontal="left" vertical="center"/>
    </xf>
    <xf numFmtId="0" fontId="15" fillId="0" borderId="0" xfId="0" applyFont="1"/>
    <xf numFmtId="3" fontId="0" fillId="0" borderId="0" xfId="0" applyNumberFormat="1"/>
    <xf numFmtId="4" fontId="4" fillId="0" borderId="0" xfId="0" applyNumberFormat="1" applyFont="1"/>
    <xf numFmtId="0" fontId="0" fillId="2" borderId="0" xfId="0" applyFill="1" applyAlignment="1">
      <alignment horizontal="left" vertical="top" wrapText="1"/>
    </xf>
    <xf numFmtId="0" fontId="0" fillId="2" borderId="0" xfId="0" applyFill="1" applyAlignment="1">
      <alignment horizontal="right" vertical="top" wrapText="1"/>
    </xf>
    <xf numFmtId="4" fontId="9" fillId="0" borderId="0" xfId="0" applyNumberFormat="1" applyFont="1"/>
    <xf numFmtId="0" fontId="0" fillId="6" borderId="0" xfId="0" applyFill="1"/>
    <xf numFmtId="4" fontId="4" fillId="6" borderId="0" xfId="0" applyNumberFormat="1" applyFont="1" applyFill="1"/>
    <xf numFmtId="0" fontId="4" fillId="2" borderId="0" xfId="0" applyFont="1" applyFill="1" applyAlignment="1">
      <alignment horizontal="center" vertical="top" wrapText="1"/>
    </xf>
    <xf numFmtId="9" fontId="0" fillId="0" borderId="0" xfId="0" applyNumberFormat="1"/>
    <xf numFmtId="0" fontId="0" fillId="5" borderId="0" xfId="0" applyFill="1" applyAlignment="1">
      <alignment horizontal="right"/>
    </xf>
    <xf numFmtId="4" fontId="0" fillId="5" borderId="0" xfId="0" applyNumberFormat="1" applyFill="1" applyAlignment="1">
      <alignment horizontal="right"/>
    </xf>
    <xf numFmtId="17" fontId="0" fillId="5" borderId="0" xfId="0" quotePrefix="1" applyNumberFormat="1" applyFill="1" applyAlignment="1">
      <alignment horizontal="right"/>
    </xf>
    <xf numFmtId="14" fontId="0" fillId="5" borderId="0" xfId="0" applyNumberFormat="1" applyFill="1"/>
    <xf numFmtId="0" fontId="0" fillId="2" borderId="0" xfId="0" applyFill="1"/>
    <xf numFmtId="4" fontId="0" fillId="7" borderId="0" xfId="0" applyNumberFormat="1" applyFill="1"/>
    <xf numFmtId="0" fontId="0" fillId="8" borderId="0" xfId="0" applyFill="1"/>
    <xf numFmtId="4" fontId="0" fillId="8" borderId="0" xfId="0" applyNumberFormat="1" applyFill="1"/>
    <xf numFmtId="0" fontId="0" fillId="8" borderId="0" xfId="0" applyFill="1" applyAlignment="1">
      <alignment horizontal="right"/>
    </xf>
    <xf numFmtId="0" fontId="9" fillId="8" borderId="0" xfId="0" applyFont="1" applyFill="1"/>
    <xf numFmtId="0" fontId="0" fillId="0" borderId="0" xfId="0" applyAlignment="1">
      <alignment horizontal="left"/>
    </xf>
    <xf numFmtId="0" fontId="4" fillId="0" borderId="0" xfId="0" applyFont="1"/>
    <xf numFmtId="0" fontId="7" fillId="0" borderId="0" xfId="0" applyFont="1"/>
    <xf numFmtId="0" fontId="0" fillId="2" borderId="1" xfId="0" applyFill="1" applyBorder="1" applyAlignment="1">
      <alignment horizontal="left" vertical="top"/>
    </xf>
    <xf numFmtId="0" fontId="0" fillId="2" borderId="2" xfId="0" applyFill="1" applyBorder="1" applyAlignment="1">
      <alignment horizontal="left" vertical="top"/>
    </xf>
    <xf numFmtId="0" fontId="0" fillId="2" borderId="2" xfId="0" applyFill="1" applyBorder="1" applyAlignment="1">
      <alignment horizontal="center" vertical="top"/>
    </xf>
    <xf numFmtId="0" fontId="0" fillId="2" borderId="3" xfId="0" applyFill="1" applyBorder="1" applyAlignment="1">
      <alignment horizontal="center" vertical="top" wrapText="1"/>
    </xf>
    <xf numFmtId="0" fontId="0" fillId="3" borderId="4" xfId="0" applyFill="1" applyBorder="1" applyProtection="1">
      <protection locked="0"/>
    </xf>
    <xf numFmtId="0" fontId="0" fillId="0" borderId="5" xfId="0"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xf>
    <xf numFmtId="14" fontId="0" fillId="0" borderId="0" xfId="0" applyNumberFormat="1"/>
    <xf numFmtId="4" fontId="0" fillId="0" borderId="0" xfId="0" applyNumberFormat="1" applyAlignment="1">
      <alignment horizontal="center"/>
    </xf>
    <xf numFmtId="0" fontId="17" fillId="0" borderId="0" xfId="0" applyFont="1"/>
    <xf numFmtId="4" fontId="17" fillId="0" borderId="0" xfId="0" applyNumberFormat="1" applyFont="1"/>
    <xf numFmtId="0" fontId="18" fillId="0" borderId="0" xfId="0" applyFont="1"/>
    <xf numFmtId="43" fontId="0" fillId="6" borderId="0" xfId="0" applyNumberFormat="1" applyFill="1"/>
    <xf numFmtId="0" fontId="7" fillId="0" borderId="14" xfId="0" applyFont="1" applyBorder="1"/>
    <xf numFmtId="0" fontId="0" fillId="0" borderId="14" xfId="0" applyBorder="1"/>
    <xf numFmtId="0" fontId="0" fillId="0" borderId="12" xfId="0" applyBorder="1"/>
    <xf numFmtId="0" fontId="4" fillId="0" borderId="14" xfId="0" applyFont="1" applyBorder="1"/>
    <xf numFmtId="164" fontId="0" fillId="2" borderId="15" xfId="0" applyNumberFormat="1" applyFill="1" applyBorder="1" applyAlignment="1">
      <alignment horizontal="left"/>
    </xf>
    <xf numFmtId="43" fontId="0" fillId="0" borderId="15" xfId="0" applyNumberFormat="1" applyBorder="1" applyAlignment="1">
      <alignment horizontal="left"/>
    </xf>
    <xf numFmtId="0" fontId="0" fillId="0" borderId="15" xfId="0" applyBorder="1" applyAlignment="1">
      <alignment horizontal="left"/>
    </xf>
    <xf numFmtId="0" fontId="0" fillId="2" borderId="15" xfId="0" applyFill="1" applyBorder="1" applyAlignment="1">
      <alignment horizontal="left"/>
    </xf>
    <xf numFmtId="4" fontId="0" fillId="0" borderId="15" xfId="0" applyNumberFormat="1" applyBorder="1" applyAlignment="1">
      <alignment horizontal="right"/>
    </xf>
    <xf numFmtId="0" fontId="7" fillId="0" borderId="16" xfId="0" applyFont="1" applyBorder="1"/>
    <xf numFmtId="4" fontId="0" fillId="0" borderId="12" xfId="0" applyNumberFormat="1" applyBorder="1"/>
    <xf numFmtId="4" fontId="4" fillId="0" borderId="17" xfId="0" applyNumberFormat="1" applyFont="1" applyBorder="1" applyAlignment="1">
      <alignment horizontal="right"/>
    </xf>
    <xf numFmtId="14" fontId="17" fillId="0" borderId="0" xfId="0" applyNumberFormat="1" applyFont="1"/>
    <xf numFmtId="0" fontId="19" fillId="0" borderId="0" xfId="0" applyFont="1"/>
    <xf numFmtId="14" fontId="20" fillId="0" borderId="0" xfId="0" applyNumberFormat="1" applyFont="1"/>
    <xf numFmtId="3" fontId="20" fillId="0" borderId="0" xfId="0" applyNumberFormat="1" applyFont="1"/>
    <xf numFmtId="0" fontId="4" fillId="0" borderId="0" xfId="0" applyFont="1" applyAlignment="1">
      <alignment horizontal="right"/>
    </xf>
    <xf numFmtId="0" fontId="20" fillId="0" borderId="0" xfId="0" applyFont="1"/>
    <xf numFmtId="0" fontId="0" fillId="3" borderId="0" xfId="0" applyFill="1" applyProtection="1">
      <protection locked="0"/>
    </xf>
    <xf numFmtId="0" fontId="0" fillId="3" borderId="0" xfId="0" applyFill="1" applyAlignment="1" applyProtection="1">
      <alignment horizontal="left"/>
      <protection locked="0"/>
    </xf>
    <xf numFmtId="14" fontId="0" fillId="3" borderId="0" xfId="0" applyNumberFormat="1" applyFill="1" applyAlignment="1" applyProtection="1">
      <alignment horizontal="left"/>
      <protection locked="0"/>
    </xf>
    <xf numFmtId="14" fontId="0" fillId="0" borderId="0" xfId="0" applyNumberFormat="1" applyAlignment="1">
      <alignment horizontal="right"/>
    </xf>
    <xf numFmtId="164" fontId="4" fillId="3" borderId="0" xfId="0" applyNumberFormat="1" applyFont="1" applyFill="1" applyProtection="1">
      <protection locked="0"/>
    </xf>
    <xf numFmtId="14" fontId="13" fillId="0" borderId="0" xfId="0" applyNumberFormat="1" applyFont="1" applyAlignment="1">
      <alignment horizontal="right"/>
    </xf>
    <xf numFmtId="4" fontId="10" fillId="0" borderId="0" xfId="0" applyNumberFormat="1" applyFont="1" applyAlignment="1">
      <alignment horizontal="left"/>
    </xf>
    <xf numFmtId="9" fontId="0" fillId="0" borderId="0" xfId="0" applyNumberFormat="1" applyAlignment="1">
      <alignment horizontal="center"/>
    </xf>
    <xf numFmtId="0" fontId="4" fillId="10" borderId="18" xfId="0" applyFont="1" applyFill="1" applyBorder="1"/>
    <xf numFmtId="0" fontId="0" fillId="10" borderId="19" xfId="0" applyFill="1" applyBorder="1"/>
    <xf numFmtId="0" fontId="0" fillId="0" borderId="20" xfId="0" applyBorder="1" applyAlignment="1">
      <alignment horizontal="left"/>
    </xf>
    <xf numFmtId="0" fontId="3" fillId="0" borderId="0" xfId="0" applyFont="1" applyAlignment="1">
      <alignment horizontal="left"/>
    </xf>
    <xf numFmtId="0" fontId="14" fillId="3" borderId="10" xfId="0" applyFont="1" applyFill="1" applyBorder="1" applyProtection="1">
      <protection locked="0"/>
    </xf>
    <xf numFmtId="0" fontId="0" fillId="12" borderId="0" xfId="0" applyFill="1" applyAlignment="1">
      <alignment horizontal="left" vertical="top"/>
    </xf>
    <xf numFmtId="0" fontId="16" fillId="0" borderId="0" xfId="2" applyAlignment="1">
      <alignment horizontal="left" vertical="top"/>
    </xf>
    <xf numFmtId="167" fontId="1" fillId="3" borderId="0" xfId="2" applyNumberFormat="1" applyFont="1" applyFill="1" applyBorder="1" applyAlignment="1" applyProtection="1">
      <alignment horizontal="left"/>
      <protection locked="0"/>
    </xf>
    <xf numFmtId="0" fontId="14" fillId="0" borderId="11" xfId="0" applyFont="1" applyBorder="1" applyProtection="1">
      <protection locked="0"/>
    </xf>
    <xf numFmtId="0" fontId="0" fillId="2" borderId="1" xfId="0" applyFill="1" applyBorder="1" applyAlignment="1">
      <alignment horizontal="center" vertical="top" wrapText="1"/>
    </xf>
    <xf numFmtId="166" fontId="0" fillId="3" borderId="0" xfId="0" applyNumberFormat="1" applyFill="1" applyProtection="1">
      <protection locked="0"/>
    </xf>
    <xf numFmtId="166" fontId="0" fillId="3" borderId="0" xfId="0" applyNumberFormat="1" applyFill="1" applyAlignment="1" applyProtection="1">
      <alignment horizontal="right"/>
      <protection locked="0"/>
    </xf>
    <xf numFmtId="166" fontId="4" fillId="2" borderId="7" xfId="0" applyNumberFormat="1" applyFont="1" applyFill="1" applyBorder="1" applyAlignment="1">
      <alignment horizontal="right"/>
    </xf>
    <xf numFmtId="166" fontId="4" fillId="0" borderId="7" xfId="0" applyNumberFormat="1" applyFont="1" applyBorder="1" applyAlignment="1">
      <alignment horizontal="right"/>
    </xf>
    <xf numFmtId="166" fontId="0" fillId="3" borderId="10" xfId="0" applyNumberFormat="1" applyFill="1" applyBorder="1" applyProtection="1">
      <protection locked="0"/>
    </xf>
    <xf numFmtId="166" fontId="4" fillId="2" borderId="11" xfId="0" applyNumberFormat="1" applyFont="1" applyFill="1" applyBorder="1"/>
    <xf numFmtId="4" fontId="0" fillId="9" borderId="7" xfId="0" applyNumberFormat="1" applyFill="1" applyBorder="1" applyAlignment="1" applyProtection="1">
      <alignment horizontal="left"/>
      <protection locked="0"/>
    </xf>
    <xf numFmtId="0" fontId="0" fillId="0" borderId="22" xfId="0" applyBorder="1" applyAlignment="1">
      <alignment horizontal="left"/>
    </xf>
    <xf numFmtId="4" fontId="0" fillId="3" borderId="0" xfId="0" applyNumberFormat="1" applyFill="1" applyAlignment="1" applyProtection="1">
      <alignment horizontal="center"/>
      <protection locked="0"/>
    </xf>
    <xf numFmtId="0" fontId="4" fillId="0" borderId="6" xfId="0" applyFont="1" applyBorder="1" applyAlignment="1">
      <alignment horizontal="center"/>
    </xf>
    <xf numFmtId="0" fontId="14" fillId="9" borderId="4" xfId="0" applyFont="1" applyFill="1" applyBorder="1" applyProtection="1">
      <protection locked="0"/>
    </xf>
    <xf numFmtId="166" fontId="0" fillId="0" borderId="0" xfId="0" applyNumberFormat="1" applyAlignment="1">
      <alignment horizontal="left"/>
    </xf>
    <xf numFmtId="0" fontId="0" fillId="7" borderId="5" xfId="0" applyFill="1" applyBorder="1" applyAlignment="1">
      <alignment horizontal="right"/>
    </xf>
    <xf numFmtId="4" fontId="0" fillId="9" borderId="7" xfId="0" applyNumberFormat="1" applyFill="1" applyBorder="1" applyProtection="1">
      <protection locked="0"/>
    </xf>
    <xf numFmtId="0" fontId="4" fillId="4" borderId="4" xfId="0" applyFont="1" applyFill="1" applyBorder="1" applyAlignment="1">
      <alignment vertical="top"/>
    </xf>
    <xf numFmtId="166" fontId="0" fillId="0" borderId="0" xfId="0" applyNumberFormat="1"/>
    <xf numFmtId="166" fontId="4" fillId="2" borderId="6" xfId="0" applyNumberFormat="1" applyFont="1" applyFill="1" applyBorder="1" applyAlignment="1">
      <alignment horizontal="right"/>
    </xf>
    <xf numFmtId="0" fontId="0" fillId="2" borderId="2" xfId="0" applyFill="1" applyBorder="1" applyAlignment="1">
      <alignment horizontal="right" vertical="top" wrapText="1"/>
    </xf>
    <xf numFmtId="166" fontId="5" fillId="0" borderId="7" xfId="0" applyNumberFormat="1" applyFont="1" applyBorder="1"/>
    <xf numFmtId="4" fontId="0" fillId="9" borderId="7" xfId="0" applyNumberFormat="1" applyFill="1" applyBorder="1" applyAlignment="1" applyProtection="1">
      <alignment horizontal="center"/>
      <protection locked="0"/>
    </xf>
    <xf numFmtId="0" fontId="4" fillId="4" borderId="0" xfId="0" applyFont="1" applyFill="1" applyAlignment="1">
      <alignment vertical="top"/>
    </xf>
    <xf numFmtId="43" fontId="0" fillId="7" borderId="5" xfId="0" applyNumberFormat="1" applyFill="1" applyBorder="1" applyAlignment="1">
      <alignment horizontal="right"/>
    </xf>
    <xf numFmtId="166" fontId="0" fillId="0" borderId="7" xfId="0" applyNumberFormat="1" applyBorder="1" applyAlignment="1">
      <alignment horizontal="right"/>
    </xf>
    <xf numFmtId="0" fontId="0" fillId="12" borderId="0" xfId="0" applyFill="1"/>
    <xf numFmtId="14" fontId="0" fillId="3" borderId="0" xfId="0" applyNumberFormat="1" applyFill="1" applyAlignment="1" applyProtection="1">
      <alignment horizontal="right"/>
      <protection locked="0"/>
    </xf>
    <xf numFmtId="0" fontId="7" fillId="0" borderId="0" xfId="0" applyFont="1" applyAlignment="1">
      <alignment horizontal="left" vertical="top"/>
    </xf>
    <xf numFmtId="0" fontId="0" fillId="6" borderId="0" xfId="0" applyFill="1" applyAlignment="1">
      <alignment horizontal="right"/>
    </xf>
    <xf numFmtId="3" fontId="0" fillId="6" borderId="0" xfId="0" applyNumberFormat="1" applyFill="1" applyAlignment="1">
      <alignment horizontal="left"/>
    </xf>
    <xf numFmtId="0" fontId="0" fillId="6" borderId="0" xfId="0" applyFill="1" applyAlignment="1">
      <alignment horizontal="left"/>
    </xf>
    <xf numFmtId="0" fontId="22" fillId="13" borderId="5" xfId="0" applyFont="1" applyFill="1" applyBorder="1" applyAlignment="1">
      <alignment horizontal="center"/>
    </xf>
    <xf numFmtId="0" fontId="0" fillId="13" borderId="0" xfId="0" applyFill="1" applyAlignment="1">
      <alignment horizontal="center"/>
    </xf>
    <xf numFmtId="0" fontId="23" fillId="0" borderId="0" xfId="0" applyFont="1" applyAlignment="1">
      <alignment horizontal="left"/>
    </xf>
    <xf numFmtId="166" fontId="23" fillId="0" borderId="0" xfId="0" applyNumberFormat="1" applyFont="1"/>
    <xf numFmtId="166" fontId="0" fillId="0" borderId="21" xfId="0" applyNumberFormat="1" applyBorder="1" applyAlignment="1">
      <alignment horizontal="center"/>
    </xf>
    <xf numFmtId="166" fontId="0" fillId="0" borderId="23" xfId="0" applyNumberFormat="1" applyBorder="1" applyAlignment="1">
      <alignment horizontal="center"/>
    </xf>
    <xf numFmtId="0" fontId="14" fillId="9" borderId="13" xfId="0" applyFont="1" applyFill="1" applyBorder="1" applyAlignment="1">
      <alignment horizontal="center"/>
    </xf>
    <xf numFmtId="0" fontId="8" fillId="0" borderId="0" xfId="0" applyFont="1" applyAlignment="1">
      <alignment horizontal="center"/>
    </xf>
    <xf numFmtId="167" fontId="16" fillId="3" borderId="0" xfId="2" applyNumberFormat="1" applyFill="1" applyBorder="1" applyAlignment="1" applyProtection="1">
      <protection locked="0"/>
    </xf>
    <xf numFmtId="0" fontId="12" fillId="0" borderId="0" xfId="0" applyFont="1" applyAlignment="1">
      <alignment horizontal="right"/>
    </xf>
    <xf numFmtId="0" fontId="12" fillId="7" borderId="0" xfId="0" applyFont="1" applyFill="1" applyAlignment="1">
      <alignment horizontal="right"/>
    </xf>
    <xf numFmtId="0" fontId="4" fillId="0" borderId="0" xfId="0" applyFont="1" applyAlignment="1">
      <alignment horizontal="left" vertical="top"/>
    </xf>
    <xf numFmtId="0" fontId="14" fillId="0" borderId="0" xfId="0" applyFont="1"/>
    <xf numFmtId="0" fontId="8" fillId="0" borderId="0" xfId="0" applyFont="1"/>
    <xf numFmtId="0" fontId="11" fillId="0" borderId="0" xfId="0" applyFont="1"/>
    <xf numFmtId="0" fontId="0" fillId="0" borderId="15" xfId="0" applyBorder="1"/>
    <xf numFmtId="0" fontId="0" fillId="3" borderId="6" xfId="0" applyFill="1" applyBorder="1" applyProtection="1">
      <protection locked="0"/>
    </xf>
    <xf numFmtId="0" fontId="0" fillId="3" borderId="7" xfId="0" applyFill="1" applyBorder="1" applyProtection="1">
      <protection locked="0"/>
    </xf>
    <xf numFmtId="14" fontId="0" fillId="3" borderId="7" xfId="0" applyNumberFormat="1" applyFill="1" applyBorder="1" applyAlignment="1" applyProtection="1">
      <alignment horizontal="left"/>
      <protection locked="0"/>
    </xf>
    <xf numFmtId="3" fontId="0" fillId="0" borderId="7" xfId="0" applyNumberFormat="1" applyBorder="1" applyAlignment="1">
      <alignment horizontal="center"/>
    </xf>
    <xf numFmtId="0" fontId="0" fillId="0" borderId="8" xfId="0" applyBorder="1" applyAlignment="1">
      <alignment horizontal="center"/>
    </xf>
    <xf numFmtId="0" fontId="25" fillId="0" borderId="0" xfId="0" applyFont="1" applyAlignment="1">
      <alignment vertical="top"/>
    </xf>
    <xf numFmtId="0" fontId="27" fillId="0" borderId="0" xfId="0" applyFont="1"/>
    <xf numFmtId="0" fontId="28" fillId="0" borderId="0" xfId="0" applyFont="1"/>
    <xf numFmtId="4" fontId="27" fillId="0" borderId="0" xfId="0" applyNumberFormat="1" applyFont="1" applyAlignment="1">
      <alignment horizontal="right"/>
    </xf>
    <xf numFmtId="0" fontId="28" fillId="0" borderId="0" xfId="0" applyFont="1" applyAlignment="1">
      <alignment horizontal="right"/>
    </xf>
    <xf numFmtId="0" fontId="28" fillId="0" borderId="0" xfId="0" applyFont="1" applyAlignment="1">
      <alignment horizontal="left"/>
    </xf>
    <xf numFmtId="0" fontId="29" fillId="0" borderId="0" xfId="0" applyFont="1"/>
    <xf numFmtId="0" fontId="30" fillId="0" borderId="0" xfId="0" applyFont="1"/>
    <xf numFmtId="0" fontId="31" fillId="0" borderId="0" xfId="0" applyFont="1"/>
    <xf numFmtId="0" fontId="31" fillId="0" borderId="0" xfId="0" applyFont="1" applyAlignment="1">
      <alignment horizontal="right"/>
    </xf>
    <xf numFmtId="0" fontId="27" fillId="4" borderId="1" xfId="0" applyFont="1" applyFill="1" applyBorder="1" applyAlignment="1">
      <alignment vertical="top"/>
    </xf>
    <xf numFmtId="0" fontId="27" fillId="4" borderId="2" xfId="0" applyFont="1" applyFill="1" applyBorder="1" applyAlignment="1">
      <alignment vertical="top"/>
    </xf>
    <xf numFmtId="0" fontId="27" fillId="4" borderId="2" xfId="0" applyFont="1" applyFill="1" applyBorder="1" applyAlignment="1">
      <alignment horizontal="right" vertical="top"/>
    </xf>
    <xf numFmtId="0" fontId="27" fillId="4" borderId="2" xfId="0" applyFont="1" applyFill="1" applyBorder="1" applyAlignment="1">
      <alignment horizontal="right" vertical="top" wrapText="1"/>
    </xf>
    <xf numFmtId="0" fontId="27" fillId="4" borderId="3" xfId="0" applyFont="1" applyFill="1" applyBorder="1" applyAlignment="1">
      <alignment horizontal="right" vertical="top" wrapText="1"/>
    </xf>
    <xf numFmtId="165" fontId="28" fillId="0" borderId="0" xfId="0" applyNumberFormat="1" applyFont="1" applyAlignment="1">
      <alignment horizontal="right"/>
    </xf>
    <xf numFmtId="0" fontId="26" fillId="4" borderId="0" xfId="0" applyFont="1" applyFill="1" applyAlignment="1">
      <alignment horizontal="right" vertical="top"/>
    </xf>
    <xf numFmtId="0" fontId="26" fillId="4" borderId="0" xfId="0" applyFont="1" applyFill="1" applyAlignment="1">
      <alignment horizontal="right" vertical="top" wrapText="1"/>
    </xf>
    <xf numFmtId="0" fontId="26" fillId="4" borderId="5" xfId="0" applyFont="1" applyFill="1" applyBorder="1" applyAlignment="1">
      <alignment horizontal="right" vertical="top" wrapText="1"/>
    </xf>
    <xf numFmtId="0" fontId="27" fillId="2" borderId="0" xfId="0" applyFont="1" applyFill="1" applyAlignment="1">
      <alignment vertical="center"/>
    </xf>
    <xf numFmtId="0" fontId="28" fillId="2" borderId="0" xfId="0" applyFont="1" applyFill="1" applyAlignment="1">
      <alignment vertical="center"/>
    </xf>
    <xf numFmtId="166" fontId="27" fillId="2" borderId="0" xfId="0" applyNumberFormat="1" applyFont="1" applyFill="1" applyAlignment="1">
      <alignment horizontal="right" vertical="center"/>
    </xf>
    <xf numFmtId="166" fontId="32" fillId="0" borderId="0" xfId="0" applyNumberFormat="1" applyFont="1" applyAlignment="1">
      <alignment horizontal="right" vertical="center"/>
    </xf>
    <xf numFmtId="166" fontId="28" fillId="0" borderId="0" xfId="0" applyNumberFormat="1" applyFont="1"/>
    <xf numFmtId="43" fontId="28" fillId="7" borderId="0" xfId="0" applyNumberFormat="1" applyFont="1" applyFill="1" applyAlignment="1">
      <alignment horizontal="right"/>
    </xf>
    <xf numFmtId="0" fontId="28" fillId="11" borderId="0" xfId="0" applyFont="1" applyFill="1"/>
    <xf numFmtId="0" fontId="33" fillId="0" borderId="0" xfId="0" applyFont="1"/>
    <xf numFmtId="14" fontId="28" fillId="0" borderId="0" xfId="0" applyNumberFormat="1" applyFont="1" applyAlignment="1">
      <alignment horizontal="left"/>
    </xf>
    <xf numFmtId="0" fontId="0" fillId="9" borderId="13" xfId="0" applyFill="1" applyBorder="1" applyAlignment="1" applyProtection="1">
      <alignment horizontal="center"/>
      <protection locked="0"/>
    </xf>
    <xf numFmtId="0" fontId="28" fillId="4" borderId="0" xfId="0" applyFont="1" applyFill="1"/>
    <xf numFmtId="0" fontId="31" fillId="4" borderId="0" xfId="0" applyFont="1" applyFill="1"/>
    <xf numFmtId="166" fontId="28" fillId="4" borderId="0" xfId="0" applyNumberFormat="1" applyFont="1" applyFill="1" applyAlignment="1">
      <alignment horizontal="right"/>
    </xf>
    <xf numFmtId="0" fontId="0" fillId="4" borderId="0" xfId="0" applyFill="1"/>
    <xf numFmtId="0" fontId="27" fillId="2" borderId="1" xfId="0" applyFont="1" applyFill="1" applyBorder="1" applyAlignment="1">
      <alignment vertical="center"/>
    </xf>
    <xf numFmtId="0" fontId="27" fillId="2" borderId="2" xfId="0" applyFont="1" applyFill="1" applyBorder="1" applyAlignment="1">
      <alignment vertical="center"/>
    </xf>
    <xf numFmtId="0" fontId="27" fillId="2" borderId="2" xfId="0" applyFont="1" applyFill="1" applyBorder="1" applyAlignment="1">
      <alignment horizontal="right" vertical="center"/>
    </xf>
    <xf numFmtId="0" fontId="27" fillId="2" borderId="3" xfId="0" applyFont="1" applyFill="1" applyBorder="1" applyAlignment="1">
      <alignment horizontal="right" vertical="center" wrapText="1"/>
    </xf>
    <xf numFmtId="166" fontId="28" fillId="0" borderId="0" xfId="0" applyNumberFormat="1" applyFont="1" applyAlignment="1">
      <alignment horizontal="right"/>
    </xf>
    <xf numFmtId="0" fontId="34" fillId="10" borderId="0" xfId="0" applyFont="1" applyFill="1"/>
    <xf numFmtId="166" fontId="32" fillId="10" borderId="0" xfId="0" applyNumberFormat="1" applyFont="1" applyFill="1" applyAlignment="1">
      <alignment horizontal="right"/>
    </xf>
    <xf numFmtId="166" fontId="33" fillId="10" borderId="0" xfId="0" applyNumberFormat="1" applyFont="1" applyFill="1" applyAlignment="1">
      <alignment horizontal="left"/>
    </xf>
    <xf numFmtId="0" fontId="14" fillId="0" borderId="0" xfId="0" applyFont="1" applyProtection="1">
      <protection locked="0"/>
    </xf>
    <xf numFmtId="0" fontId="14" fillId="0" borderId="0" xfId="0" applyFont="1" applyAlignment="1">
      <alignment vertical="top"/>
    </xf>
    <xf numFmtId="4" fontId="31" fillId="0" borderId="0" xfId="0" applyNumberFormat="1" applyFont="1" applyAlignment="1">
      <alignment horizontal="right"/>
    </xf>
    <xf numFmtId="0" fontId="0" fillId="9" borderId="0" xfId="0" applyFill="1" applyProtection="1">
      <protection locked="0"/>
    </xf>
    <xf numFmtId="0" fontId="28" fillId="0" borderId="4" xfId="0" applyFont="1" applyBorder="1"/>
    <xf numFmtId="166" fontId="28" fillId="0" borderId="5" xfId="0" applyNumberFormat="1" applyFont="1" applyBorder="1" applyAlignment="1">
      <alignment horizontal="right"/>
    </xf>
    <xf numFmtId="4" fontId="28" fillId="0" borderId="0" xfId="0" applyNumberFormat="1" applyFont="1"/>
    <xf numFmtId="4" fontId="28" fillId="0" borderId="5" xfId="0" applyNumberFormat="1" applyFont="1" applyBorder="1"/>
    <xf numFmtId="0" fontId="27" fillId="0" borderId="4" xfId="0" applyFont="1" applyBorder="1"/>
    <xf numFmtId="0" fontId="31" fillId="0" borderId="0" xfId="0" applyFont="1" applyAlignment="1">
      <alignment horizontal="left" vertical="top"/>
    </xf>
    <xf numFmtId="4" fontId="28" fillId="0" borderId="4" xfId="0" applyNumberFormat="1" applyFont="1" applyBorder="1"/>
    <xf numFmtId="4" fontId="31" fillId="0" borderId="0" xfId="0" applyNumberFormat="1" applyFont="1" applyAlignment="1">
      <alignment horizontal="left" vertical="top"/>
    </xf>
    <xf numFmtId="0" fontId="26" fillId="0" borderId="4" xfId="0" applyFont="1" applyBorder="1"/>
    <xf numFmtId="4" fontId="0" fillId="0" borderId="5" xfId="0" applyNumberFormat="1" applyBorder="1" applyAlignment="1">
      <alignment horizontal="right"/>
    </xf>
    <xf numFmtId="0" fontId="0" fillId="0" borderId="4" xfId="0" applyBorder="1"/>
    <xf numFmtId="4" fontId="27" fillId="0" borderId="0" xfId="0" applyNumberFormat="1" applyFont="1"/>
    <xf numFmtId="0" fontId="0" fillId="0" borderId="5" xfId="0" applyBorder="1"/>
    <xf numFmtId="4" fontId="26" fillId="0" borderId="4" xfId="0" applyNumberFormat="1" applyFont="1" applyBorder="1"/>
    <xf numFmtId="0" fontId="8" fillId="0" borderId="4" xfId="0" applyFont="1" applyBorder="1"/>
    <xf numFmtId="166" fontId="0" fillId="0" borderId="5" xfId="0" applyNumberFormat="1" applyBorder="1" applyAlignment="1">
      <alignment horizontal="right"/>
    </xf>
    <xf numFmtId="0" fontId="27" fillId="4" borderId="4" xfId="0" applyFont="1" applyFill="1" applyBorder="1"/>
    <xf numFmtId="0" fontId="27" fillId="4" borderId="0" xfId="0" applyFont="1" applyFill="1"/>
    <xf numFmtId="166" fontId="27" fillId="4" borderId="0" xfId="0" applyNumberFormat="1" applyFont="1" applyFill="1"/>
    <xf numFmtId="166" fontId="27" fillId="4" borderId="5" xfId="0" applyNumberFormat="1" applyFont="1" applyFill="1" applyBorder="1"/>
    <xf numFmtId="0" fontId="27" fillId="2" borderId="6" xfId="0" applyFont="1" applyFill="1" applyBorder="1"/>
    <xf numFmtId="0" fontId="27" fillId="2" borderId="7" xfId="0" applyFont="1" applyFill="1" applyBorder="1"/>
    <xf numFmtId="0" fontId="27" fillId="2" borderId="7" xfId="0" applyFont="1" applyFill="1" applyBorder="1" applyAlignment="1">
      <alignment horizontal="right"/>
    </xf>
    <xf numFmtId="166" fontId="27" fillId="2" borderId="8" xfId="0" applyNumberFormat="1" applyFont="1" applyFill="1" applyBorder="1" applyAlignment="1">
      <alignment horizontal="right"/>
    </xf>
    <xf numFmtId="0" fontId="27" fillId="4" borderId="1" xfId="0" applyFont="1" applyFill="1" applyBorder="1" applyAlignment="1">
      <alignment vertical="center"/>
    </xf>
    <xf numFmtId="0" fontId="27" fillId="4" borderId="2" xfId="0" applyFont="1" applyFill="1" applyBorder="1" applyAlignment="1">
      <alignment vertical="center"/>
    </xf>
    <xf numFmtId="0" fontId="27" fillId="4" borderId="3" xfId="0" applyFont="1" applyFill="1" applyBorder="1" applyAlignment="1">
      <alignment vertical="center"/>
    </xf>
    <xf numFmtId="0" fontId="4" fillId="2" borderId="7" xfId="0" applyFont="1" applyFill="1" applyBorder="1"/>
    <xf numFmtId="0" fontId="27" fillId="2" borderId="6" xfId="0" applyFont="1" applyFill="1" applyBorder="1" applyAlignment="1">
      <alignment vertical="center"/>
    </xf>
    <xf numFmtId="0" fontId="28" fillId="2" borderId="7" xfId="0" applyFont="1" applyFill="1" applyBorder="1" applyAlignment="1">
      <alignment vertical="center"/>
    </xf>
    <xf numFmtId="166" fontId="27" fillId="2" borderId="8" xfId="0" applyNumberFormat="1" applyFont="1" applyFill="1" applyBorder="1" applyAlignment="1">
      <alignment horizontal="right" vertical="center"/>
    </xf>
    <xf numFmtId="0" fontId="29" fillId="0" borderId="0" xfId="0" applyFont="1" applyAlignment="1">
      <alignment horizontal="right"/>
    </xf>
    <xf numFmtId="0" fontId="35" fillId="0" borderId="0" xfId="0" applyFont="1"/>
    <xf numFmtId="4" fontId="0" fillId="0" borderId="0" xfId="0" applyNumberFormat="1" applyAlignment="1">
      <alignment horizontal="left" vertical="top"/>
    </xf>
    <xf numFmtId="0" fontId="4" fillId="2" borderId="24" xfId="0" applyFont="1" applyFill="1" applyBorder="1" applyAlignment="1">
      <alignment horizontal="center" vertical="top" wrapText="1"/>
    </xf>
    <xf numFmtId="0" fontId="0" fillId="0" borderId="25" xfId="0" applyBorder="1"/>
    <xf numFmtId="43" fontId="0" fillId="0" borderId="0" xfId="0" applyNumberFormat="1"/>
    <xf numFmtId="9" fontId="10" fillId="0" borderId="0" xfId="0" applyNumberFormat="1" applyFont="1" applyAlignment="1">
      <alignment horizontal="center"/>
    </xf>
    <xf numFmtId="9" fontId="10" fillId="0" borderId="0" xfId="0" applyNumberFormat="1" applyFont="1" applyAlignment="1">
      <alignment horizontal="left"/>
    </xf>
    <xf numFmtId="4" fontId="36" fillId="0" borderId="5" xfId="0" applyNumberFormat="1" applyFont="1" applyBorder="1" applyAlignment="1">
      <alignment horizontal="right"/>
    </xf>
    <xf numFmtId="0" fontId="0" fillId="2" borderId="3" xfId="0" applyFill="1" applyBorder="1" applyAlignment="1">
      <alignment horizontal="right"/>
    </xf>
    <xf numFmtId="0" fontId="0" fillId="0" borderId="6" xfId="0" applyBorder="1"/>
    <xf numFmtId="4" fontId="0" fillId="0" borderId="8" xfId="0" applyNumberFormat="1" applyBorder="1"/>
    <xf numFmtId="0" fontId="10" fillId="0" borderId="0" xfId="0" applyFont="1"/>
    <xf numFmtId="166" fontId="29" fillId="0" borderId="0" xfId="0" applyNumberFormat="1" applyFont="1" applyAlignment="1">
      <alignment horizontal="left"/>
    </xf>
    <xf numFmtId="0" fontId="14" fillId="9" borderId="4" xfId="0" applyFont="1" applyFill="1" applyBorder="1" applyAlignment="1" applyProtection="1">
      <alignment wrapText="1"/>
      <protection locked="0"/>
    </xf>
    <xf numFmtId="0" fontId="37" fillId="0" borderId="0" xfId="0" applyFont="1"/>
    <xf numFmtId="0" fontId="0" fillId="3" borderId="4" xfId="0" applyFill="1" applyBorder="1"/>
    <xf numFmtId="0" fontId="0" fillId="3" borderId="0" xfId="0" applyFill="1"/>
    <xf numFmtId="165" fontId="0" fillId="3" borderId="0" xfId="0" applyNumberFormat="1" applyFill="1" applyAlignment="1">
      <alignment horizontal="left"/>
    </xf>
    <xf numFmtId="14" fontId="0" fillId="3" borderId="0" xfId="0" applyNumberFormat="1" applyFill="1" applyAlignment="1">
      <alignment horizontal="left"/>
    </xf>
    <xf numFmtId="0" fontId="0" fillId="3" borderId="6" xfId="0" applyFill="1" applyBorder="1"/>
    <xf numFmtId="0" fontId="0" fillId="3" borderId="7" xfId="0" applyFill="1" applyBorder="1"/>
    <xf numFmtId="165" fontId="0" fillId="3" borderId="7" xfId="0" applyNumberFormat="1" applyFill="1" applyBorder="1" applyAlignment="1">
      <alignment horizontal="left"/>
    </xf>
    <xf numFmtId="14" fontId="0" fillId="3" borderId="7" xfId="0" applyNumberFormat="1" applyFill="1" applyBorder="1" applyAlignment="1">
      <alignment horizontal="left"/>
    </xf>
    <xf numFmtId="0" fontId="0" fillId="3" borderId="0" xfId="0" applyFill="1" applyAlignment="1">
      <alignment horizontal="left"/>
    </xf>
    <xf numFmtId="164" fontId="4" fillId="3" borderId="0" xfId="0" applyNumberFormat="1" applyFont="1" applyFill="1"/>
    <xf numFmtId="14" fontId="0" fillId="3" borderId="0" xfId="0" applyNumberFormat="1" applyFill="1" applyAlignment="1">
      <alignment horizontal="right"/>
    </xf>
    <xf numFmtId="0" fontId="1" fillId="3" borderId="0" xfId="2" applyNumberFormat="1" applyFont="1" applyFill="1" applyBorder="1" applyAlignment="1" applyProtection="1">
      <alignment horizontal="left"/>
    </xf>
    <xf numFmtId="167" fontId="16" fillId="3" borderId="0" xfId="2" applyNumberFormat="1" applyFill="1" applyBorder="1" applyAlignment="1" applyProtection="1"/>
    <xf numFmtId="166" fontId="0" fillId="3" borderId="10" xfId="0" applyNumberFormat="1" applyFill="1" applyBorder="1" applyAlignment="1">
      <alignment horizontal="right"/>
    </xf>
    <xf numFmtId="166" fontId="0" fillId="3" borderId="0" xfId="0" applyNumberFormat="1" applyFill="1"/>
    <xf numFmtId="0" fontId="0" fillId="9" borderId="13" xfId="0" applyFill="1" applyBorder="1" applyAlignment="1">
      <alignment horizontal="center"/>
    </xf>
    <xf numFmtId="166" fontId="0" fillId="3" borderId="5" xfId="0" applyNumberFormat="1" applyFill="1" applyBorder="1"/>
    <xf numFmtId="0" fontId="14" fillId="9" borderId="4" xfId="0" applyFont="1" applyFill="1" applyBorder="1" applyAlignment="1">
      <alignment wrapText="1"/>
    </xf>
    <xf numFmtId="9" fontId="0" fillId="3" borderId="0" xfId="1" applyFont="1" applyFill="1" applyBorder="1" applyAlignment="1" applyProtection="1">
      <alignment horizontal="center"/>
    </xf>
    <xf numFmtId="0" fontId="14" fillId="9" borderId="4" xfId="0" applyFont="1" applyFill="1" applyBorder="1"/>
    <xf numFmtId="4" fontId="0" fillId="3" borderId="0" xfId="0" applyNumberFormat="1" applyFill="1" applyAlignment="1">
      <alignment horizontal="center"/>
    </xf>
    <xf numFmtId="166" fontId="0" fillId="3" borderId="10" xfId="0" applyNumberFormat="1" applyFill="1" applyBorder="1"/>
    <xf numFmtId="166" fontId="0" fillId="3" borderId="0" xfId="0" applyNumberFormat="1" applyFill="1" applyAlignment="1">
      <alignment horizontal="right"/>
    </xf>
    <xf numFmtId="166" fontId="0" fillId="3" borderId="3" xfId="0" applyNumberFormat="1" applyFill="1" applyBorder="1"/>
    <xf numFmtId="4" fontId="0" fillId="9" borderId="7" xfId="0" applyNumberFormat="1" applyFill="1" applyBorder="1" applyAlignment="1">
      <alignment horizontal="left"/>
    </xf>
    <xf numFmtId="4" fontId="0" fillId="9" borderId="7" xfId="0" applyNumberFormat="1" applyFill="1" applyBorder="1" applyAlignment="1">
      <alignment horizontal="center"/>
    </xf>
    <xf numFmtId="4" fontId="0" fillId="9" borderId="7" xfId="0" applyNumberFormat="1" applyFill="1" applyBorder="1"/>
    <xf numFmtId="166" fontId="0" fillId="3" borderId="8" xfId="0" applyNumberFormat="1" applyFill="1" applyBorder="1"/>
    <xf numFmtId="0" fontId="14" fillId="3" borderId="10" xfId="0" applyFont="1" applyFill="1" applyBorder="1"/>
    <xf numFmtId="0" fontId="14" fillId="0" borderId="11" xfId="0" applyFont="1" applyBorder="1"/>
    <xf numFmtId="0" fontId="0" fillId="9" borderId="0" xfId="0" applyFill="1"/>
    <xf numFmtId="0" fontId="23" fillId="0" borderId="0" xfId="0" applyFont="1" applyAlignment="1">
      <alignment vertical="center"/>
    </xf>
    <xf numFmtId="0" fontId="25" fillId="0" borderId="0" xfId="0" applyFont="1" applyAlignment="1">
      <alignment vertical="center"/>
    </xf>
    <xf numFmtId="4" fontId="4" fillId="7" borderId="0" xfId="0" applyNumberFormat="1" applyFont="1" applyFill="1"/>
    <xf numFmtId="9" fontId="3" fillId="0" borderId="0" xfId="0" applyNumberFormat="1" applyFont="1" applyAlignment="1">
      <alignment horizontal="left"/>
    </xf>
    <xf numFmtId="0" fontId="38" fillId="0" borderId="0" xfId="0" applyFont="1" applyAlignment="1">
      <alignment horizontal="left"/>
    </xf>
    <xf numFmtId="4" fontId="38" fillId="0" borderId="0" xfId="0" applyNumberFormat="1" applyFont="1" applyAlignment="1">
      <alignment horizontal="left"/>
    </xf>
    <xf numFmtId="4" fontId="38" fillId="0" borderId="0" xfId="0" applyNumberFormat="1" applyFont="1" applyAlignment="1">
      <alignment horizontal="center"/>
    </xf>
    <xf numFmtId="0" fontId="4" fillId="2" borderId="26" xfId="0" applyFont="1" applyFill="1" applyBorder="1" applyAlignment="1">
      <alignment horizontal="center"/>
    </xf>
    <xf numFmtId="0" fontId="39" fillId="0" borderId="0" xfId="0" applyFont="1" applyAlignment="1">
      <alignment horizontal="left"/>
    </xf>
    <xf numFmtId="0" fontId="4" fillId="3" borderId="26" xfId="0" applyFont="1" applyFill="1" applyBorder="1" applyAlignment="1" applyProtection="1">
      <alignment horizontal="center"/>
      <protection locked="0"/>
    </xf>
    <xf numFmtId="165" fontId="0" fillId="3" borderId="0" xfId="0" applyNumberFormat="1" applyFill="1" applyAlignment="1" applyProtection="1">
      <alignment horizontal="left"/>
      <protection locked="0"/>
    </xf>
    <xf numFmtId="0" fontId="0" fillId="0" borderId="5" xfId="0" applyBorder="1" applyAlignment="1">
      <alignment horizontal="center"/>
    </xf>
    <xf numFmtId="0" fontId="0" fillId="3" borderId="7" xfId="0" applyFill="1" applyBorder="1" applyAlignment="1" applyProtection="1">
      <alignment horizontal="left"/>
      <protection locked="0"/>
    </xf>
    <xf numFmtId="0" fontId="4" fillId="0" borderId="0" xfId="0" applyFont="1" applyAlignment="1">
      <alignment horizontal="left" vertical="top" wrapText="1"/>
    </xf>
    <xf numFmtId="0" fontId="7" fillId="0" borderId="0" xfId="0" applyFont="1" applyAlignment="1">
      <alignment horizontal="left" vertical="top" wrapText="1"/>
    </xf>
    <xf numFmtId="3" fontId="7" fillId="0" borderId="0" xfId="0" applyNumberFormat="1" applyFont="1"/>
    <xf numFmtId="1" fontId="7" fillId="0" borderId="0" xfId="0" applyNumberFormat="1" applyFont="1"/>
    <xf numFmtId="1" fontId="7" fillId="0" borderId="0" xfId="0" applyNumberFormat="1" applyFont="1" applyAlignment="1">
      <alignment horizontal="right"/>
    </xf>
    <xf numFmtId="0" fontId="0" fillId="14" borderId="0" xfId="0" applyFill="1"/>
    <xf numFmtId="0" fontId="0" fillId="14" borderId="0" xfId="0" applyFill="1" applyAlignment="1">
      <alignment horizontal="left" vertical="center"/>
    </xf>
    <xf numFmtId="0" fontId="0" fillId="14" borderId="0" xfId="0" applyFill="1" applyAlignment="1">
      <alignment horizontal="left" vertical="top"/>
    </xf>
    <xf numFmtId="3" fontId="0" fillId="14" borderId="0" xfId="0" applyNumberFormat="1" applyFill="1" applyAlignment="1">
      <alignment horizontal="center"/>
    </xf>
    <xf numFmtId="0" fontId="15" fillId="14" borderId="0" xfId="0" applyFont="1" applyFill="1"/>
    <xf numFmtId="0" fontId="41" fillId="0" borderId="0" xfId="0" applyFont="1"/>
    <xf numFmtId="0" fontId="0" fillId="9" borderId="0" xfId="0" applyFill="1" applyAlignment="1" applyProtection="1">
      <alignment horizontal="left"/>
      <protection locked="0"/>
    </xf>
    <xf numFmtId="0" fontId="0" fillId="9" borderId="5" xfId="0" applyFill="1" applyBorder="1" applyAlignment="1" applyProtection="1">
      <alignment horizontal="left"/>
      <protection locked="0"/>
    </xf>
    <xf numFmtId="0" fontId="0" fillId="3" borderId="0" xfId="0" applyFill="1" applyAlignment="1" applyProtection="1">
      <alignment horizontal="left"/>
      <protection locked="0"/>
    </xf>
    <xf numFmtId="0" fontId="4" fillId="3" borderId="0" xfId="0" applyFont="1" applyFill="1" applyAlignment="1" applyProtection="1">
      <alignment horizontal="left"/>
      <protection locked="0"/>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9" borderId="0" xfId="0" applyFill="1" applyAlignment="1">
      <alignment horizontal="left"/>
    </xf>
    <xf numFmtId="0" fontId="0" fillId="9" borderId="5" xfId="0" applyFill="1" applyBorder="1" applyAlignment="1">
      <alignment horizontal="left"/>
    </xf>
    <xf numFmtId="0" fontId="28" fillId="0" borderId="0" xfId="0" applyFont="1" applyAlignment="1" applyProtection="1">
      <alignment horizontal="left"/>
      <protection locked="0"/>
    </xf>
    <xf numFmtId="49" fontId="0" fillId="9" borderId="2" xfId="0" quotePrefix="1" applyNumberFormat="1" applyFill="1" applyBorder="1" applyAlignment="1" applyProtection="1">
      <alignment horizontal="left"/>
      <protection locked="0"/>
    </xf>
    <xf numFmtId="4" fontId="0" fillId="9" borderId="0" xfId="0" applyNumberFormat="1" applyFill="1" applyAlignment="1" applyProtection="1">
      <alignment horizontal="left"/>
      <protection locked="0"/>
    </xf>
    <xf numFmtId="4" fontId="0" fillId="9" borderId="4" xfId="0" applyNumberFormat="1" applyFill="1" applyBorder="1" applyAlignment="1" applyProtection="1">
      <alignment horizontal="left"/>
      <protection locked="0"/>
    </xf>
    <xf numFmtId="4" fontId="0" fillId="3" borderId="1" xfId="0" applyNumberFormat="1" applyFill="1" applyBorder="1" applyAlignment="1" applyProtection="1">
      <alignment horizontal="left"/>
      <protection locked="0"/>
    </xf>
    <xf numFmtId="4" fontId="0" fillId="3" borderId="2" xfId="0" applyNumberFormat="1" applyFill="1" applyBorder="1" applyAlignment="1" applyProtection="1">
      <alignment horizontal="left"/>
      <protection locked="0"/>
    </xf>
    <xf numFmtId="4" fontId="0" fillId="3" borderId="3" xfId="0" applyNumberFormat="1" applyFill="1" applyBorder="1" applyAlignment="1" applyProtection="1">
      <alignment horizontal="left"/>
      <protection locked="0"/>
    </xf>
    <xf numFmtId="4" fontId="0" fillId="3" borderId="4" xfId="0" applyNumberFormat="1" applyFill="1" applyBorder="1" applyAlignment="1" applyProtection="1">
      <alignment horizontal="left"/>
      <protection locked="0"/>
    </xf>
    <xf numFmtId="4" fontId="0" fillId="3" borderId="0" xfId="0" applyNumberFormat="1" applyFill="1" applyAlignment="1" applyProtection="1">
      <alignment horizontal="left"/>
      <protection locked="0"/>
    </xf>
    <xf numFmtId="4" fontId="0" fillId="3" borderId="5" xfId="0" applyNumberFormat="1" applyFill="1" applyBorder="1" applyAlignment="1" applyProtection="1">
      <alignment horizontal="left"/>
      <protection locked="0"/>
    </xf>
    <xf numFmtId="4" fontId="0" fillId="3" borderId="6" xfId="0" applyNumberFormat="1" applyFill="1" applyBorder="1" applyAlignment="1" applyProtection="1">
      <alignment horizontal="left"/>
      <protection locked="0"/>
    </xf>
    <xf numFmtId="4" fontId="0" fillId="3" borderId="7" xfId="0" applyNumberFormat="1" applyFill="1" applyBorder="1" applyAlignment="1" applyProtection="1">
      <alignment horizontal="left"/>
      <protection locked="0"/>
    </xf>
    <xf numFmtId="4" fontId="0" fillId="3" borderId="8" xfId="0" applyNumberFormat="1" applyFill="1" applyBorder="1" applyAlignment="1" applyProtection="1">
      <alignment horizontal="left"/>
      <protection locked="0"/>
    </xf>
    <xf numFmtId="0" fontId="28" fillId="0" borderId="0" xfId="0" applyFont="1" applyAlignment="1">
      <alignment horizontal="left"/>
    </xf>
    <xf numFmtId="49" fontId="0" fillId="9" borderId="2" xfId="0" quotePrefix="1" applyNumberFormat="1" applyFill="1" applyBorder="1" applyAlignment="1">
      <alignment horizontal="left"/>
    </xf>
    <xf numFmtId="4" fontId="0" fillId="9" borderId="0" xfId="0" applyNumberFormat="1" applyFill="1" applyAlignment="1">
      <alignment horizontal="left"/>
    </xf>
    <xf numFmtId="4" fontId="0" fillId="9" borderId="4" xfId="0" applyNumberFormat="1" applyFill="1" applyBorder="1" applyAlignment="1">
      <alignment horizontal="left"/>
    </xf>
    <xf numFmtId="4" fontId="0" fillId="3" borderId="1" xfId="0" applyNumberFormat="1" applyFill="1" applyBorder="1" applyAlignment="1">
      <alignment horizontal="left"/>
    </xf>
    <xf numFmtId="4" fontId="0" fillId="3" borderId="2" xfId="0" applyNumberFormat="1" applyFill="1" applyBorder="1" applyAlignment="1">
      <alignment horizontal="left"/>
    </xf>
    <xf numFmtId="4" fontId="0" fillId="3" borderId="3" xfId="0" applyNumberFormat="1" applyFill="1" applyBorder="1" applyAlignment="1">
      <alignment horizontal="left"/>
    </xf>
    <xf numFmtId="4" fontId="0" fillId="3" borderId="4" xfId="0" applyNumberFormat="1" applyFill="1" applyBorder="1" applyAlignment="1">
      <alignment horizontal="left"/>
    </xf>
    <xf numFmtId="4" fontId="0" fillId="3" borderId="0" xfId="0" applyNumberFormat="1" applyFill="1" applyAlignment="1">
      <alignment horizontal="left"/>
    </xf>
    <xf numFmtId="4" fontId="0" fillId="3" borderId="5" xfId="0" applyNumberFormat="1" applyFill="1" applyBorder="1" applyAlignment="1">
      <alignment horizontal="left"/>
    </xf>
    <xf numFmtId="4" fontId="0" fillId="3" borderId="6" xfId="0" applyNumberFormat="1" applyFill="1" applyBorder="1" applyAlignment="1">
      <alignment horizontal="left"/>
    </xf>
    <xf numFmtId="4" fontId="0" fillId="3" borderId="7" xfId="0" applyNumberFormat="1" applyFill="1" applyBorder="1" applyAlignment="1">
      <alignment horizontal="left"/>
    </xf>
    <xf numFmtId="4" fontId="0" fillId="3" borderId="8" xfId="0" applyNumberFormat="1" applyFill="1" applyBorder="1" applyAlignment="1">
      <alignment horizontal="left"/>
    </xf>
    <xf numFmtId="0" fontId="0" fillId="3" borderId="0" xfId="0" applyFill="1" applyAlignment="1">
      <alignment horizontal="left"/>
    </xf>
  </cellXfs>
  <cellStyles count="3">
    <cellStyle name="Link" xfId="2" builtinId="8"/>
    <cellStyle name="Prozent" xfId="1" builtinId="5"/>
    <cellStyle name="Standard" xfId="0" builtinId="0"/>
  </cellStyles>
  <dxfs count="26">
    <dxf>
      <font>
        <color theme="0"/>
      </font>
      <fill>
        <patternFill patternType="none">
          <bgColor auto="1"/>
        </patternFill>
      </fill>
    </dxf>
    <dxf>
      <font>
        <color theme="1"/>
      </font>
      <fill>
        <patternFill>
          <bgColor theme="0" tint="-0.14996795556505021"/>
        </patternFill>
      </fill>
    </dxf>
    <dxf>
      <font>
        <color theme="0" tint="-4.9989318521683403E-2"/>
      </font>
      <fill>
        <patternFill patternType="solid">
          <bgColor theme="0" tint="-4.9989318521683403E-2"/>
        </patternFill>
      </fill>
    </dxf>
    <dxf>
      <font>
        <color theme="0"/>
      </font>
      <fill>
        <patternFill patternType="solid">
          <bgColor theme="0"/>
        </patternFill>
      </fill>
    </dxf>
    <dxf>
      <font>
        <color theme="0" tint="-4.9989318521683403E-2"/>
      </font>
      <fill>
        <patternFill patternType="solid">
          <bgColor theme="0" tint="-4.9989318521683403E-2"/>
        </patternFill>
      </fill>
    </dxf>
    <dxf>
      <font>
        <color theme="0"/>
      </font>
      <fill>
        <patternFill patternType="none">
          <bgColor auto="1"/>
        </patternFill>
      </fill>
    </dxf>
    <dxf>
      <font>
        <color rgb="FF006100"/>
      </font>
      <fill>
        <patternFill>
          <bgColor rgb="FFC6EFCE"/>
        </patternFill>
      </fill>
    </dxf>
    <dxf>
      <font>
        <color theme="1"/>
      </font>
      <fill>
        <patternFill>
          <bgColor rgb="FFFFC7CE"/>
        </patternFill>
      </fill>
    </dxf>
    <dxf>
      <font>
        <color theme="1"/>
      </font>
      <fill>
        <patternFill>
          <bgColor rgb="FFFFC7CE"/>
        </patternFill>
      </fill>
    </dxf>
    <dxf>
      <font>
        <color theme="0" tint="-0.14996795556505021"/>
      </font>
      <fill>
        <patternFill>
          <bgColor theme="0" tint="-0.14996795556505021"/>
        </patternFill>
      </fill>
    </dxf>
    <dxf>
      <font>
        <color theme="1"/>
      </font>
      <fill>
        <patternFill>
          <bgColor theme="0" tint="-0.14996795556505021"/>
        </patternFill>
      </fill>
    </dxf>
    <dxf>
      <font>
        <color theme="0"/>
      </font>
      <fill>
        <patternFill patternType="none">
          <bgColor auto="1"/>
        </patternFill>
      </fill>
    </dxf>
    <dxf>
      <font>
        <color theme="0"/>
      </font>
      <fill>
        <patternFill patternType="none">
          <bgColor auto="1"/>
        </patternFill>
      </fill>
    </dxf>
    <dxf>
      <font>
        <color rgb="FFC00000"/>
      </font>
      <fill>
        <patternFill patternType="none">
          <bgColor auto="1"/>
        </patternFill>
      </fill>
    </dxf>
    <dxf>
      <font>
        <color theme="1"/>
      </font>
      <fill>
        <patternFill>
          <bgColor theme="0" tint="-0.14996795556505021"/>
        </patternFill>
      </fill>
    </dxf>
    <dxf>
      <font>
        <color theme="0" tint="-4.9989318521683403E-2"/>
      </font>
      <fill>
        <patternFill patternType="solid">
          <bgColor theme="0" tint="-4.9989318521683403E-2"/>
        </patternFill>
      </fill>
    </dxf>
    <dxf>
      <font>
        <color theme="0"/>
      </font>
      <fill>
        <patternFill patternType="solid">
          <bgColor theme="0"/>
        </patternFill>
      </fill>
    </dxf>
    <dxf>
      <font>
        <color theme="0" tint="-4.9989318521683403E-2"/>
      </font>
      <fill>
        <patternFill patternType="solid">
          <bgColor theme="0" tint="-4.9989318521683403E-2"/>
        </patternFill>
      </fill>
    </dxf>
    <dxf>
      <font>
        <color theme="0"/>
      </font>
      <fill>
        <patternFill patternType="none">
          <bgColor auto="1"/>
        </patternFill>
      </fill>
    </dxf>
    <dxf>
      <font>
        <color rgb="FF006100"/>
      </font>
      <fill>
        <patternFill>
          <bgColor rgb="FFC6EFCE"/>
        </patternFill>
      </fill>
    </dxf>
    <dxf>
      <font>
        <color theme="1"/>
      </font>
      <fill>
        <patternFill>
          <bgColor rgb="FFFFC7CE"/>
        </patternFill>
      </fill>
    </dxf>
    <dxf>
      <font>
        <color theme="1"/>
      </font>
      <fill>
        <patternFill>
          <bgColor rgb="FFFFC7CE"/>
        </patternFill>
      </fill>
    </dxf>
    <dxf>
      <font>
        <color theme="0" tint="-0.14996795556505021"/>
      </font>
      <fill>
        <patternFill>
          <bgColor theme="0" tint="-0.14996795556505021"/>
        </patternFill>
      </fill>
    </dxf>
    <dxf>
      <font>
        <color theme="1"/>
      </font>
      <fill>
        <patternFill>
          <bgColor theme="0" tint="-0.1499679555650502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AEB"/>
      <color rgb="FFDDEFFF"/>
      <color rgb="FFF3BDA5"/>
      <color rgb="FFFAE1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177800</xdr:colOff>
      <xdr:row>1</xdr:row>
      <xdr:rowOff>9525</xdr:rowOff>
    </xdr:from>
    <xdr:to>
      <xdr:col>6</xdr:col>
      <xdr:colOff>1277229</xdr:colOff>
      <xdr:row>4</xdr:row>
      <xdr:rowOff>46548</xdr:rowOff>
    </xdr:to>
    <xdr:pic>
      <xdr:nvPicPr>
        <xdr:cNvPr id="2" name="Picture 1">
          <a:extLst>
            <a:ext uri="{FF2B5EF4-FFF2-40B4-BE49-F238E27FC236}">
              <a16:creationId xmlns:a16="http://schemas.microsoft.com/office/drawing/2014/main" id="{F60AE3CC-7269-498A-85FE-2C367934E809}"/>
            </a:ext>
          </a:extLst>
        </xdr:cNvPr>
        <xdr:cNvPicPr>
          <a:picLocks noChangeAspect="1" noChangeArrowheads="1"/>
        </xdr:cNvPicPr>
      </xdr:nvPicPr>
      <xdr:blipFill>
        <a:blip xmlns:r="http://schemas.openxmlformats.org/officeDocument/2006/relationships" r:embed="rId1" cstate="print">
          <a:grayscl/>
          <a:biLevel thresh="50000"/>
          <a:extLst>
            <a:ext uri="{28A0092B-C50C-407E-A947-70E740481C1C}">
              <a14:useLocalDpi xmlns:a14="http://schemas.microsoft.com/office/drawing/2010/main" val="0"/>
            </a:ext>
          </a:extLst>
        </a:blip>
        <a:srcRect/>
        <a:stretch>
          <a:fillRect/>
        </a:stretch>
      </xdr:blipFill>
      <xdr:spPr bwMode="auto">
        <a:xfrm>
          <a:off x="9988550" y="190500"/>
          <a:ext cx="1099429" cy="57994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74</xdr:col>
      <xdr:colOff>44450</xdr:colOff>
      <xdr:row>16</xdr:row>
      <xdr:rowOff>76200</xdr:rowOff>
    </xdr:from>
    <xdr:to>
      <xdr:col>74</xdr:col>
      <xdr:colOff>3518079</xdr:colOff>
      <xdr:row>27</xdr:row>
      <xdr:rowOff>349360</xdr:rowOff>
    </xdr:to>
    <xdr:pic>
      <xdr:nvPicPr>
        <xdr:cNvPr id="2" name="Grafik 1">
          <a:extLst>
            <a:ext uri="{FF2B5EF4-FFF2-40B4-BE49-F238E27FC236}">
              <a16:creationId xmlns:a16="http://schemas.microsoft.com/office/drawing/2014/main" id="{E4CD2828-E2C9-44D6-BC91-23B9E97C72BB}"/>
            </a:ext>
          </a:extLst>
        </xdr:cNvPr>
        <xdr:cNvPicPr>
          <a:picLocks noChangeAspect="1"/>
        </xdr:cNvPicPr>
      </xdr:nvPicPr>
      <xdr:blipFill>
        <a:blip xmlns:r="http://schemas.openxmlformats.org/officeDocument/2006/relationships" r:embed="rId1"/>
        <a:stretch>
          <a:fillRect/>
        </a:stretch>
      </xdr:blipFill>
      <xdr:spPr>
        <a:xfrm>
          <a:off x="11525250" y="2825750"/>
          <a:ext cx="3473629" cy="2133710"/>
        </a:xfrm>
        <a:prstGeom prst="rect">
          <a:avLst/>
        </a:prstGeom>
        <a:effectLst>
          <a:outerShdw blurRad="50800" dist="38100" dir="8100000" algn="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person displayName="Stauffer Reto  DGSKSD" id="{372AADED-DCF5-4750-B70C-015183CBF143}" userId="S::reto.stauffer@ag.ch::da26d491-456c-4a9d-b9cb-746196839476" providerId="AD"/>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1" dT="2024-04-04T16:36:17.09" personId="{372AADED-DCF5-4750-B70C-015183CBF143}" id="{7165B636-973E-40C6-801E-5FD727290684}">
    <text>Bitte Mailadresse eintragen, falls der direkte Versand der Krankenkassenrechnung an die Klienten per Mail gewünscht wird.</text>
  </threadedComment>
  <threadedComment ref="C23" dT="2024-02-23T12:31:01.08" personId="{372AADED-DCF5-4750-B70C-015183CBF143}" id="{224F5FA2-E82D-4587-8ED0-906EC8F776B1}">
    <text>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ext>
  </threadedComment>
  <threadedComment ref="C24" dT="2024-02-23T12:32:01.65" personId="{372AADED-DCF5-4750-B70C-015183CBF143}" id="{CB673CA6-CDA9-4B70-99A8-BF310AC778AB}">
    <text>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ext>
    <extLst>
      <x:ext xmlns:xltc2="http://schemas.microsoft.com/office/spreadsheetml/2020/threadedcomments2" uri="{F7C98A9C-CBB3-438F-8F68-D28B6AF4A901}">
        <xltc2:checksum>1348405587</xltc2:checksum>
        <xltc2:hyperlink startIndex="303" length="24" url="ksd.rechnungswesen@ag.ch"/>
      </x:ext>
    </extLst>
  </threadedComment>
  <threadedComment ref="C25" dT="2023-12-12T23:02:18.02" personId="{372AADED-DCF5-4750-B70C-015183CBF143}" id="{FD3C0204-E0AB-498D-B643-60D16C4E362E}">
    <text>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ext>
  </threadedComment>
  <threadedComment ref="B28" dT="2023-11-29T19:30:05.01" personId="{372AADED-DCF5-4750-B70C-015183CBF143}" id="{5D13C520-FF11-4154-9F73-C22359517E4C}">
    <text>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ext>
  </threadedComment>
  <threadedComment ref="C28" dT="2023-11-29T13:04:37.30" personId="{372AADED-DCF5-4750-B70C-015183CBF143}" id="{41C0F943-6A7F-47E9-9AD8-11FFB103D0D5}">
    <text>Prämie wird anhand des Alters automatisch eingetragen. Bitte den Betrag nachprüfen (IPV, tiefere Franchise etc.), da die Standard-Prämie nicht für alle Personen gilt.</text>
  </threadedComment>
  <threadedComment ref="D28" dT="2024-02-09T14:30:40.96" personId="{372AADED-DCF5-4750-B70C-015183CBF143}" id="{45F67E99-AD10-45CE-B809-D3689AAD1786}">
    <text>Bei der Dropdown-Auswahl "IPV" wird keine Krankenkassenprämie eingetragen. 
Der Krankenkassenbetrag muss immer überprüft werden (Formel kann manuell überschrieben werden).</text>
  </threadedComment>
  <threadedComment ref="E28" dT="2024-02-23T15:25:34.51" personId="{372AADED-DCF5-4750-B70C-015183CBF143}" id="{6F099F2D-8A55-47FA-A51C-E048A3764BDA}">
    <text>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ext>
  </threadedComment>
  <threadedComment ref="F28" dT="2023-11-28T12:01:40.31" personId="{372AADED-DCF5-4750-B70C-015183CBF143}" id="{963553EA-765F-418B-8713-45A9879B0D6F}">
    <text>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ext>
  </threadedComment>
  <threadedComment ref="G28" dT="2023-11-28T12:01:40.31" personId="{372AADED-DCF5-4750-B70C-015183CBF143}" id="{FEF1E9ED-718F-4099-83CD-2057F2F6E16D}">
    <text>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
Der anrechenbare Betrag wird auf dem Berechnungsblatt ausgewiesen, sobald bei den Einnahmen ein Pensum eingetragen wird.</text>
  </threadedComment>
  <threadedComment ref="G43" dT="2024-11-11T09:02:00.61" personId="{372AADED-DCF5-4750-B70C-015183CBF143}" id="{BA56738F-8A0D-4474-ABE6-B6F6F1AF4CBA}">
    <text>Freibetrag, gemäss Arbeitspensum.
Für Renten, Versicherungsleistungen, Überschuss-Übertrag etc. wird kein Freibetrag gewährt.</text>
  </threadedComment>
  <threadedComment ref="B54" dT="2023-11-29T13:06:02.91" personId="{372AADED-DCF5-4750-B70C-015183CBF143}" id="{D8CBD759-716D-4F72-98BC-1214AF4D4E8B}">
    <text>Entschädigung für Mehrkosten für auswärtige Verpflegung bei Arbeitseinsatz. Diese wird mit der Pauschale für den "weiteren Lebensunterhalt" finanziert oder bei einem Überschuss dem Überschuss angerechnet.</text>
  </threadedComment>
  <threadedComment ref="A71" dT="2024-11-11T08:57:57.92" personId="{372AADED-DCF5-4750-B70C-015183CBF143}" id="{FA1487EA-56B3-48FA-AE00-6DD87D331E56}">
    <text>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ext>
  </threadedComment>
  <threadedComment ref="A85" dT="2024-02-09T13:10:30.10" personId="{372AADED-DCF5-4750-B70C-015183CBF143}" id="{65CF1B06-23A8-4835-837D-E34744A80E3A}">
    <text>Auf dem Blatt für den / die Klienten erscheint der Text mit einer Information, dass die Gemeinde eine Mietrechnung ausstellt. 
Falls diese Information nicht zutrifft, kann hier ein alternativer Text hinterlegt werden. Z.B., dass die Miete der Gastfamilie abgegeben werden muss etc.</text>
  </threadedComment>
  <threadedComment ref="A87" dT="2024-02-09T13:11:39.36" personId="{372AADED-DCF5-4750-B70C-015183CBF143}" id="{ADC1C795-F700-446B-B214-1AC6F096EF12}">
    <text>Diese Information erscheint auf Seite 2 für die Klienten und dient zudem dem KSD bei Rückfragen zum Berechnungsblatt.</text>
  </threadedComment>
  <threadedComment ref="Q159" dT="2023-11-29T10:44:43.74" personId="{372AADED-DCF5-4750-B70C-015183CBF143}" id="{54B49178-33A6-4671-AF2F-7E3D0801447C}">
    <text>Miete = 0, wenn Minus im Feld links</text>
  </threadedComment>
  <threadedComment ref="B174" dT="2024-02-29T08:07:11.96" personId="{372AADED-DCF5-4750-B70C-015183CBF143}" id="{0599116A-E0A4-449B-A5BD-9866256D0239}">
    <text>Eintrag von Seite 1 wird hier übernommen, kann aber an dieser Stelle mit anderen Kontakt-Infos für die Klienten überschrieben werden, falls sich diese von denen auf Seite 1 unterscheiden.</text>
  </threadedComment>
</ThreadedComments>
</file>

<file path=xl/threadedComments/threadedComment2.xml><?xml version="1.0" encoding="utf-8"?>
<ThreadedComments xmlns="http://schemas.microsoft.com/office/spreadsheetml/2018/threadedcomments" xmlns:x="http://schemas.openxmlformats.org/spreadsheetml/2006/main">
  <threadedComment ref="E21" dT="2024-04-04T16:36:17.09" personId="{372AADED-DCF5-4750-B70C-015183CBF143}" id="{3B750CAF-EBB5-462A-9E9B-6518B5CF8497}">
    <text>Bitte Mailadresse eintragen, falls der direkte Versand der Krankenkassenrechnung an die Klienten per Mail gewünscht wird.</text>
  </threadedComment>
  <threadedComment ref="C23" dT="2024-02-23T12:31:01.08" personId="{372AADED-DCF5-4750-B70C-015183CBF143}" id="{E9321CC4-C3E9-4FAE-9FC4-4C3FC3EECC64}">
    <text>Dieses Feld weist aus, wie hoch die Beteiligung an den Kosten für die Unterbringung durch die Klienten ausfällt. Die Gemeinde stellt eine entsprechende Rechnung aus oder informiert über den Betrag, der aufgrund der Berechnung beim Vermieter / bei der Gastfamilie abgegeben werden muss.</text>
  </threadedComment>
  <threadedComment ref="C24" dT="2024-02-23T12:32:01.65" personId="{372AADED-DCF5-4750-B70C-015183CBF143}" id="{8DC0DB41-7BBC-4B65-8553-DACFB54B620F}">
    <text>Dieses Feld weist aus, wie hoch die Beteiligung an den Kosten für die Krankenkassenprämie durch die Klienten ausfällt.
Die entsprechende Rechnung erstellt und versendet der Kantonale Sozialdienst nach Erhalt dieses Berechnungsblattes.
Die monatliche und frühzeitige Einsendung des Berechnungsblattes an ksd.rechnungswesen@ag.ch ist somit auch deshalb wichtig, damit die Klienten rechtzeitig die zu bezahlenden Krankenkassenrechnungen erhalten.</text>
    <extLst>
      <x:ext xmlns:xltc2="http://schemas.microsoft.com/office/spreadsheetml/2020/threadedcomments2" uri="{F7C98A9C-CBB3-438F-8F68-D28B6AF4A901}">
        <xltc2:checksum>1348405587</xltc2:checksum>
        <xltc2:hyperlink startIndex="303" length="24" url="ksd.rechnungswesen@ag.ch"/>
      </x:ext>
    </extLst>
  </threadedComment>
  <threadedComment ref="C25" dT="2023-12-12T23:02:18.02" personId="{372AADED-DCF5-4750-B70C-015183CBF143}" id="{8A5E230C-3665-4FE8-8F41-AACB5A29EEC5}">
    <text>Dieser Betrag weist das Einkommen, abzüglich des berechneten Einkommensfreibetrages / der Integrationszulage aus.
Die Gemeinde meldet diesen Betrag im Rahmen der Quartalsabrechnung mit dem Formular für Korrekturen und Ergänzungen.
Der Betrag wird von den Pauschalen, die mit der Quartalsabrechnung vergütet werden, in Abzug gebracht.
Bei Personen, die im aktuellen Berechnungsmonat von der Gemeinde nicht finanziell unterstützt werden müssen, entfällt auch die Verrechnung auf der Quartalsabrechnung und dieses Feld bleibt somit leer.</text>
  </threadedComment>
  <threadedComment ref="B28" dT="2023-11-29T19:30:05.01" personId="{372AADED-DCF5-4750-B70C-015183CBF143}" id="{612105A6-6023-41B5-9FEA-54DE63C2D2FD}">
    <text>Effektiven Mietbetrag für die Unterbringung eintragen. Gemäss Mietvertrag oder Bezahlung an Gastgeber etc.
Die Gemeinde erhält vom Kanton Fr. 9.00 pro Tag und Person für jede im aktuellen Monat finanziell unterstützte Person als Entschädigung für die Unterbringung.
Die Klienten beteiligen sich an den effektiven Kosten für die Unterbringung, sobald das Einkommen entsprechend ausfällt (anhand der Berechnung auf diesem Berechnungsblatt). 
Die Gemeinde stellt in diesem Fall eine Rechnung an die Klienten oder informiert den Vermieter darüber, die Beteiligung an den Wohnkosten bei den Klienten einzufordern.</text>
  </threadedComment>
  <threadedComment ref="C28" dT="2023-11-29T13:04:37.30" personId="{372AADED-DCF5-4750-B70C-015183CBF143}" id="{1BBF3AF9-66C4-4435-9D90-DEE71E4C3EB8}">
    <text>Prämie wird anhand des Alters automatisch eingetragen. Bitte den Betrag nachprüfen (IPV, tiefere Franchise etc.), da die Standard-Prämie nicht für alle Personen gilt.</text>
  </threadedComment>
  <threadedComment ref="D28" dT="2024-02-09T14:30:40.96" personId="{372AADED-DCF5-4750-B70C-015183CBF143}" id="{A00AA610-7203-49E0-8919-300E9A87B3E3}">
    <text>Bei der Dropdown-Auswahl "IPV" wird keine Krankenkassenprämie eingetragen. 
Der Krankenkassenbetrag muss immer überprüft werden (Formel kann manuell überschrieben werden).</text>
  </threadedComment>
  <threadedComment ref="E28" dT="2024-02-23T15:25:34.51" personId="{372AADED-DCF5-4750-B70C-015183CBF143}" id="{D0952E70-B69D-4F2C-B9B7-1445B1F19043}">
    <text>Die Gemeinde erhält pro unterstützte Person Fr. 7.50 pro Tag für den weiteren Lebensunterhalt. 
Im Berechnungsblatt wird aufgeführt, welcher Anteil davon als finanzielle Leistung weitergegeben bzw. angerechnet wird. Ein eventueller Restbetrag der Pauschale erfolgt als Sachleistung in der jeweiligen Unterbringungs-Situation.
In Spalte E wird der Anteil der Pauschale pro Person eingetragen. Alternativ kann in Spalte F ein Total für den Monat für die gesamte Unterstützungseinheit eingetragen werden.
Bleibt der Eintrag leer, wird mindestens das Kleidergeld berechnet.</text>
  </threadedComment>
  <threadedComment ref="F28" dT="2023-11-28T12:01:40.31" personId="{372AADED-DCF5-4750-B70C-015183CBF143}" id="{7F8574E6-1FBA-4976-8DA7-17F1B99E0F8F}">
    <text>Entweder pro Person (Spalte E) einzeln einzutragen oder als Total für die ganze Unterstützungseinheit für den ganzen Monat (Spalte F).
Total = Gleichmässige Aufteilung auf alle Personen. Wird auf 5 Rappen gerundet, falls nötig.
Bleibt der Eintrag leer, wird mindestens das Kleidergeld berechnet.</text>
  </threadedComment>
  <threadedComment ref="G28" dT="2023-11-28T12:01:40.31" personId="{372AADED-DCF5-4750-B70C-015183CBF143}" id="{31E39558-5613-4DF7-9BF7-1BB156CC8A09}">
    <text>Abzug auf der Lohnabrechnung für Verpflegung, die dem Arbeitnehmer während der Arbeit zur Verfügung gestellt wird.
Diese Verpflegung muss an den Grundbedarf angerechnet werden. Es werden jedoch maximal Fr. 100.00 pro Monat (bei einem 100%-Pensum) angerechnet.
Abzug bitte ohne Vorzeichen eintragen.
Bei den Einnahmen wird die Nettoauszahlung (ohne Aufrechnung des Abzuges) eingetragen.</text>
  </threadedComment>
  <threadedComment ref="G43" dT="2024-11-11T09:02:00.61" personId="{372AADED-DCF5-4750-B70C-015183CBF143}" id="{55B83E95-080B-42ED-811C-B30F6803062A}">
    <text>Freibetrag, gemäss Arbeitspensum.
Für Renten, Versicherungsleistungen, Überschuss-Übertrag etc. wird kein Freibetrag gewährt.</text>
  </threadedComment>
  <threadedComment ref="B54" dT="2023-11-29T13:06:02.91" personId="{372AADED-DCF5-4750-B70C-015183CBF143}" id="{17C5FAA6-92E5-42F2-BF5D-A161BACDDF82}">
    <text>Entschädigung für Mehrkosten für auswärtige Verpflegung bei Arbeitseinsatz. Diese wird mit der Pauschale für den "weiteren Lebensunterhalt" finanziert oder bei einem Überschuss dem Überschuss angerechnet.</text>
  </threadedComment>
  <threadedComment ref="A71" dT="2024-11-11T08:57:57.92" personId="{372AADED-DCF5-4750-B70C-015183CBF143}" id="{07D2A1D0-570F-4C4E-8140-86664348490F}">
    <text>Situationsbedingte Leistungen werden im Berechnungsblatt berücksichtigt, wenn diese durch die Klienten finanziert wurden oder werden.
Besteht ohne die Berücksichtigung der SIL auf dem Berechnungsblatt ein Überschuss, so müssen die SIL im Berechnungsblatt auf jeden Fall aufgeführt werden. Mit dem Überschuss müssen sich die Klienten ganz oder teilweise an den Kosten für die situationsbedingten Leistungen beteiligen.</text>
  </threadedComment>
  <threadedComment ref="A85" dT="2024-02-09T13:10:30.10" personId="{372AADED-DCF5-4750-B70C-015183CBF143}" id="{CF1330C7-24DE-42A4-A132-2AA74DD5EB02}">
    <text>Auf dem Blatt für den / die Klienten erscheint der Text mit einer Information, dass die Gemeinde eine Mietrechnung ausstellt. 
Falls diese Information nicht zutrifft, kann hier ein alternativer Text hinterlegt werden. Z.B., dass die Miete der Gastfamilie abgegeben werden muss etc.</text>
  </threadedComment>
  <threadedComment ref="A87" dT="2024-02-09T13:11:39.36" personId="{372AADED-DCF5-4750-B70C-015183CBF143}" id="{0BDC2F29-E895-4D67-84B9-F3F46FC85C8F}">
    <text>Diese Information erscheint auf Seite 2 für die Klienten und dient zudem dem KSD bei Rückfragen zum Berechnungsblatt.</text>
  </threadedComment>
  <threadedComment ref="P159" dT="2023-11-29T10:44:43.74" personId="{372AADED-DCF5-4750-B70C-015183CBF143}" id="{F651C144-D7F2-4D7C-862E-AFB94A0BB54E}">
    <text>Miete = 0, wenn Minus im Feld links</text>
  </threadedComment>
  <threadedComment ref="B174" dT="2024-02-29T08:07:11.96" personId="{372AADED-DCF5-4750-B70C-015183CBF143}" id="{85AB3365-380F-4ECF-A64B-373EFA771E18}">
    <text>Eintrag von Seite 1 wird hier übernommen, kann aber an dieser Stelle mit anderen Kontakt-Infos für die Klienten überschrieben werden, falls sich diese von denen auf Seite 1 unterscheiden.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ohammed.ali@gmail.com"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A24EE-7982-4145-9220-35E5029D9E31}">
  <dimension ref="A1:DJ276"/>
  <sheetViews>
    <sheetView tabSelected="1" zoomScaleNormal="100" zoomScaleSheetLayoutView="100" workbookViewId="0">
      <selection activeCell="A8" sqref="A8"/>
    </sheetView>
  </sheetViews>
  <sheetFormatPr baseColWidth="10" defaultColWidth="0" defaultRowHeight="14" x14ac:dyDescent="0.3"/>
  <cols>
    <col min="1" max="1" width="27.5" customWidth="1"/>
    <col min="2" max="2" width="23.83203125" customWidth="1"/>
    <col min="3" max="3" width="18.5" customWidth="1"/>
    <col min="4" max="4" width="18.33203125" customWidth="1"/>
    <col min="5" max="5" width="20.58203125" customWidth="1"/>
    <col min="6" max="6" width="19.83203125" style="1" customWidth="1"/>
    <col min="7" max="7" width="17" customWidth="1"/>
    <col min="8" max="8" width="5" customWidth="1"/>
    <col min="9" max="9" width="73.58203125" bestFit="1" customWidth="1"/>
    <col min="10" max="10" width="5.33203125" hidden="1" customWidth="1"/>
    <col min="11" max="11" width="12.5" hidden="1" customWidth="1"/>
    <col min="12" max="12" width="41.5" hidden="1" customWidth="1"/>
    <col min="13" max="13" width="61.33203125" hidden="1" customWidth="1"/>
    <col min="14" max="14" width="25.58203125" hidden="1" customWidth="1"/>
    <col min="15" max="15" width="25.75" hidden="1" customWidth="1"/>
    <col min="16" max="16" width="22.33203125" hidden="1" customWidth="1"/>
    <col min="17" max="17" width="14.58203125" hidden="1" customWidth="1"/>
    <col min="18" max="18" width="13.83203125" hidden="1" customWidth="1"/>
    <col min="19" max="19" width="12.83203125" hidden="1" customWidth="1"/>
    <col min="20" max="20" width="30" hidden="1" customWidth="1"/>
    <col min="21" max="21" width="15.83203125" hidden="1" customWidth="1"/>
    <col min="22" max="22" width="13.08203125" hidden="1" customWidth="1"/>
    <col min="23" max="23" width="19.33203125" hidden="1" customWidth="1"/>
    <col min="24" max="75" width="10.58203125" hidden="1" customWidth="1"/>
    <col min="76" max="76" width="8.75" hidden="1" customWidth="1"/>
    <col min="77" max="83" width="10.58203125" hidden="1" customWidth="1"/>
    <col min="84" max="108" width="11" hidden="1" customWidth="1"/>
    <col min="109" max="114" width="0" hidden="1" customWidth="1"/>
    <col min="115" max="16384" width="11" hidden="1"/>
  </cols>
  <sheetData>
    <row r="1" spans="1:78" x14ac:dyDescent="0.3">
      <c r="M1" s="22" t="s">
        <v>326</v>
      </c>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row>
    <row r="2" spans="1:78" ht="19" x14ac:dyDescent="0.4">
      <c r="A2" s="82" t="s">
        <v>396</v>
      </c>
      <c r="F2"/>
      <c r="I2" s="115" t="s">
        <v>441</v>
      </c>
      <c r="V2" s="44"/>
      <c r="BA2" t="s">
        <v>350</v>
      </c>
    </row>
    <row r="3" spans="1:78" ht="14.5" x14ac:dyDescent="0.35">
      <c r="A3" s="68" t="str">
        <f>IF(E4="Ausweis F/S","Vorläufig aufgenommene Ausländerinnen und Ausländer (Ausweis F)","Asylsuchende (Ausweis N)")</f>
        <v>Vorläufig aufgenommene Ausländerinnen und Ausländer (Ausweis F)</v>
      </c>
      <c r="E3" s="300" t="s">
        <v>450</v>
      </c>
      <c r="I3" t="s">
        <v>327</v>
      </c>
      <c r="M3" t="s">
        <v>448</v>
      </c>
      <c r="V3" s="44"/>
      <c r="AI3" s="69" t="s">
        <v>459</v>
      </c>
      <c r="AJ3" s="69"/>
      <c r="AK3" s="69"/>
      <c r="AL3" s="69"/>
      <c r="AM3" s="69"/>
      <c r="AN3" s="69"/>
      <c r="AO3" s="69"/>
      <c r="AP3" s="69"/>
    </row>
    <row r="4" spans="1:78" ht="14.5" x14ac:dyDescent="0.35">
      <c r="A4" s="68" t="str">
        <f>IF(E4="Ausweis F/S","Schutzbedürftige ohne Aufenthaltsbewilligung (Ausweis S)","")</f>
        <v>Schutzbedürftige ohne Aufenthaltsbewilligung (Ausweis S)</v>
      </c>
      <c r="E4" s="302" t="s">
        <v>448</v>
      </c>
      <c r="F4" s="301" t="s">
        <v>453</v>
      </c>
      <c r="M4" t="s">
        <v>449</v>
      </c>
      <c r="V4" s="44"/>
      <c r="AI4" s="69"/>
      <c r="AJ4" s="69"/>
      <c r="AK4" s="69"/>
      <c r="AL4" s="69"/>
      <c r="AM4" s="69"/>
      <c r="AN4" s="69"/>
      <c r="AO4" s="69"/>
      <c r="AP4" s="69"/>
    </row>
    <row r="5" spans="1:78" ht="14.5" x14ac:dyDescent="0.35">
      <c r="A5" s="161" t="s">
        <v>432</v>
      </c>
      <c r="E5" s="68"/>
      <c r="F5" s="68"/>
      <c r="V5" s="44"/>
      <c r="AI5" s="69">
        <f>MONTH(F17)</f>
        <v>1</v>
      </c>
      <c r="AJ5" s="69">
        <f>YEAR(F17)</f>
        <v>2025</v>
      </c>
      <c r="AK5" s="69" t="str">
        <f>CONCATENATE(AI5,AJ5)</f>
        <v>12025</v>
      </c>
      <c r="AL5" s="69" t="s">
        <v>460</v>
      </c>
      <c r="AM5" s="69"/>
      <c r="AN5" s="69"/>
      <c r="AO5" s="69"/>
      <c r="AP5" s="69"/>
    </row>
    <row r="6" spans="1:78" ht="15" thickBot="1" x14ac:dyDescent="0.4">
      <c r="D6" s="21" t="str">
        <f>AK21</f>
        <v/>
      </c>
      <c r="E6" s="21"/>
      <c r="L6" s="2" t="s">
        <v>423</v>
      </c>
      <c r="N6" s="45" t="s">
        <v>49</v>
      </c>
      <c r="O6" s="22"/>
      <c r="P6" s="22"/>
      <c r="Q6" s="22"/>
      <c r="R6" s="22"/>
      <c r="T6" s="311"/>
      <c r="U6" s="311"/>
      <c r="V6" s="311" t="s">
        <v>58</v>
      </c>
      <c r="W6" s="311"/>
      <c r="X6" s="311"/>
      <c r="Y6" s="311"/>
      <c r="Z6" s="311"/>
      <c r="AI6" s="69"/>
      <c r="AJ6" s="69"/>
      <c r="AK6" s="69"/>
      <c r="AL6" s="69"/>
      <c r="AM6" s="69"/>
      <c r="AN6" s="69"/>
      <c r="AO6" s="69"/>
      <c r="AP6" s="69"/>
    </row>
    <row r="7" spans="1:78" s="2" customFormat="1" ht="28" customHeight="1" x14ac:dyDescent="0.3">
      <c r="A7" s="70" t="s">
        <v>27</v>
      </c>
      <c r="B7" s="71" t="s">
        <v>1</v>
      </c>
      <c r="C7" s="71" t="s">
        <v>28</v>
      </c>
      <c r="D7" s="71" t="s">
        <v>29</v>
      </c>
      <c r="E7" s="71" t="s">
        <v>0</v>
      </c>
      <c r="F7" s="72" t="s">
        <v>4</v>
      </c>
      <c r="G7" s="73" t="s">
        <v>30</v>
      </c>
      <c r="I7" s="2" t="s">
        <v>401</v>
      </c>
      <c r="J7" s="145"/>
      <c r="L7" s="248">
        <v>55.7</v>
      </c>
      <c r="N7" t="s">
        <v>351</v>
      </c>
      <c r="T7" s="312" t="s">
        <v>57</v>
      </c>
      <c r="U7" s="312"/>
      <c r="V7" s="312" t="s">
        <v>6</v>
      </c>
      <c r="W7" s="312" t="s">
        <v>5</v>
      </c>
      <c r="X7" s="313"/>
      <c r="Y7" s="313"/>
      <c r="Z7" s="313"/>
      <c r="AA7" s="2" t="s">
        <v>470</v>
      </c>
      <c r="AF7" s="2" t="s">
        <v>295</v>
      </c>
      <c r="AI7" s="145" t="s">
        <v>464</v>
      </c>
      <c r="AJ7" s="145" t="s">
        <v>465</v>
      </c>
      <c r="AK7" s="307" t="s">
        <v>466</v>
      </c>
      <c r="AL7" s="145" t="s">
        <v>461</v>
      </c>
      <c r="AM7" s="145" t="s">
        <v>462</v>
      </c>
      <c r="AN7" s="145"/>
      <c r="AO7" s="145"/>
      <c r="AP7" s="145"/>
      <c r="AQ7" t="s">
        <v>81</v>
      </c>
      <c r="BA7"/>
      <c r="BB7"/>
      <c r="BC7"/>
      <c r="BD7"/>
      <c r="BE7"/>
      <c r="BF7"/>
      <c r="BG7" s="23"/>
      <c r="BH7"/>
      <c r="BI7"/>
      <c r="BJ7"/>
      <c r="BK7"/>
      <c r="BZ7" s="116"/>
    </row>
    <row r="8" spans="1:78" ht="14.5" x14ac:dyDescent="0.35">
      <c r="A8" s="74"/>
      <c r="B8" s="102"/>
      <c r="C8" s="303"/>
      <c r="D8" s="303"/>
      <c r="E8" s="104"/>
      <c r="F8" s="43" t="str">
        <f t="shared" ref="F8:F13" si="0">IF(E8&gt;10000,((DATEDIF(E8,$F$17,"Y"))),"")</f>
        <v/>
      </c>
      <c r="G8" s="75">
        <f>COUNTA(E8:E15)</f>
        <v>0</v>
      </c>
      <c r="I8" s="104" t="s">
        <v>439</v>
      </c>
      <c r="L8" s="67">
        <f t="shared" ref="L8:L15" si="1">IF(F8&lt;19,1,0)</f>
        <v>0</v>
      </c>
      <c r="M8" s="78" t="s">
        <v>297</v>
      </c>
      <c r="T8" s="314" t="str">
        <f t="shared" ref="T8:T15" si="2">IF(E8&gt;20000,((DATEDIF(E8,$F$17,"Y"))),"")</f>
        <v/>
      </c>
      <c r="U8" s="314" t="str">
        <f t="shared" ref="U8:U15" si="3">IF(E8&gt;20000,((DATEDIF(E8,($F$17+30),"Y"))),"")</f>
        <v/>
      </c>
      <c r="V8" s="315" t="str">
        <f t="shared" ref="V8:V15" si="4">IF(AND(T8=5,U8=6)," Korrektur! Erhöhung Taschengeld im laufenden Monat.","")</f>
        <v/>
      </c>
      <c r="W8" s="315" t="str">
        <f t="shared" ref="W8:W15" si="5">IF(AND(T8=15,U8=16)," Korrektur! Erhöhung Verpflegungsgeld im laufenden Monat.","")</f>
        <v/>
      </c>
      <c r="X8" s="311"/>
      <c r="Y8" s="311"/>
      <c r="Z8" s="311"/>
      <c r="AI8" s="308">
        <f t="shared" ref="AI8:AI14" si="6">IF(E8&gt;1,(MONTH(E8)),0)</f>
        <v>0</v>
      </c>
      <c r="AJ8" s="309">
        <f>YEAR(E8)</f>
        <v>1900</v>
      </c>
      <c r="AK8" s="69" t="str">
        <f t="shared" ref="AK8:AK14" si="7">CONCATENATE(AI8,AJ8)</f>
        <v>01900</v>
      </c>
      <c r="AL8" s="69" t="str">
        <f t="shared" ref="AL8:AL14" si="8">CONCATENATE(AI8,(AJ8+6))</f>
        <v>01906</v>
      </c>
      <c r="AM8" s="69" t="str">
        <f t="shared" ref="AM8:AM14" si="9">CONCATENATE(AI8,(AJ8+16))</f>
        <v>01916</v>
      </c>
      <c r="AN8" s="69">
        <v>1</v>
      </c>
      <c r="AO8" s="69"/>
      <c r="AP8" s="69"/>
      <c r="AQ8" t="s">
        <v>23</v>
      </c>
      <c r="AR8" t="s">
        <v>82</v>
      </c>
      <c r="AS8" t="s">
        <v>83</v>
      </c>
      <c r="BE8" t="s">
        <v>319</v>
      </c>
      <c r="BG8" s="23"/>
      <c r="BL8" t="s">
        <v>427</v>
      </c>
    </row>
    <row r="9" spans="1:78" ht="14.5" x14ac:dyDescent="0.35">
      <c r="A9" s="74"/>
      <c r="B9" s="102"/>
      <c r="C9" s="303"/>
      <c r="D9" s="303"/>
      <c r="E9" s="104"/>
      <c r="F9" s="43" t="str">
        <f t="shared" si="0"/>
        <v/>
      </c>
      <c r="G9" s="76"/>
      <c r="L9" s="67">
        <f t="shared" si="1"/>
        <v>0</v>
      </c>
      <c r="N9" s="21"/>
      <c r="T9" s="314" t="str">
        <f t="shared" si="2"/>
        <v/>
      </c>
      <c r="U9" s="314" t="str">
        <f t="shared" si="3"/>
        <v/>
      </c>
      <c r="V9" s="315" t="str">
        <f t="shared" si="4"/>
        <v/>
      </c>
      <c r="W9" s="315" t="str">
        <f t="shared" si="5"/>
        <v/>
      </c>
      <c r="X9" s="311"/>
      <c r="Y9" s="311"/>
      <c r="Z9" s="311"/>
      <c r="AF9" s="80" t="s">
        <v>296</v>
      </c>
      <c r="AI9" s="308">
        <f t="shared" si="6"/>
        <v>0</v>
      </c>
      <c r="AJ9" s="309">
        <f t="shared" ref="AJ9:AJ16" si="10">YEAR(E9)</f>
        <v>1900</v>
      </c>
      <c r="AK9" s="69" t="str">
        <f t="shared" si="7"/>
        <v>01900</v>
      </c>
      <c r="AL9" s="69" t="str">
        <f t="shared" si="8"/>
        <v>01906</v>
      </c>
      <c r="AM9" s="69" t="str">
        <f t="shared" si="9"/>
        <v>01916</v>
      </c>
      <c r="AN9" s="69">
        <v>1</v>
      </c>
      <c r="AO9" s="69"/>
      <c r="AP9" s="69"/>
      <c r="AQ9">
        <v>4303</v>
      </c>
      <c r="AR9" t="s">
        <v>84</v>
      </c>
      <c r="AS9" t="s">
        <v>85</v>
      </c>
      <c r="BF9" s="78">
        <v>45658</v>
      </c>
      <c r="BG9" s="23"/>
      <c r="BL9" t="s">
        <v>471</v>
      </c>
    </row>
    <row r="10" spans="1:78" ht="14.5" x14ac:dyDescent="0.35">
      <c r="A10" s="74"/>
      <c r="B10" s="102"/>
      <c r="C10" s="303"/>
      <c r="D10" s="303"/>
      <c r="E10" s="104"/>
      <c r="F10" s="43" t="str">
        <f t="shared" si="0"/>
        <v/>
      </c>
      <c r="G10" s="76"/>
      <c r="I10" s="214" t="s">
        <v>440</v>
      </c>
      <c r="L10" s="67">
        <f t="shared" si="1"/>
        <v>0</v>
      </c>
      <c r="T10" s="314" t="str">
        <f t="shared" si="2"/>
        <v/>
      </c>
      <c r="U10" s="314" t="str">
        <f t="shared" si="3"/>
        <v/>
      </c>
      <c r="V10" s="315" t="str">
        <f t="shared" si="4"/>
        <v/>
      </c>
      <c r="W10" s="315" t="str">
        <f t="shared" si="5"/>
        <v/>
      </c>
      <c r="X10" s="311"/>
      <c r="Y10" s="311"/>
      <c r="Z10" s="311"/>
      <c r="AF10" s="80" t="str">
        <f>TEXT(E9,"JJJJ")</f>
        <v>1900</v>
      </c>
      <c r="AI10" s="308">
        <f t="shared" si="6"/>
        <v>0</v>
      </c>
      <c r="AJ10" s="309">
        <f t="shared" si="10"/>
        <v>1900</v>
      </c>
      <c r="AK10" s="69" t="str">
        <f t="shared" si="7"/>
        <v>01900</v>
      </c>
      <c r="AL10" s="69" t="str">
        <f t="shared" si="8"/>
        <v>01906</v>
      </c>
      <c r="AM10" s="69" t="str">
        <f t="shared" si="9"/>
        <v>01916</v>
      </c>
      <c r="AN10" s="69">
        <v>1</v>
      </c>
      <c r="AO10" s="69"/>
      <c r="AP10" s="69"/>
      <c r="AQ10">
        <v>4305</v>
      </c>
      <c r="AR10" t="s">
        <v>86</v>
      </c>
      <c r="AS10" t="s">
        <v>85</v>
      </c>
      <c r="BG10" s="23"/>
    </row>
    <row r="11" spans="1:78" ht="14.5" x14ac:dyDescent="0.35">
      <c r="A11" s="74"/>
      <c r="B11" s="102"/>
      <c r="C11" s="303"/>
      <c r="D11" s="303"/>
      <c r="E11" s="104"/>
      <c r="F11" s="43" t="str">
        <f t="shared" si="0"/>
        <v/>
      </c>
      <c r="G11" s="77"/>
      <c r="L11" s="67">
        <f t="shared" si="1"/>
        <v>0</v>
      </c>
      <c r="M11" t="s">
        <v>307</v>
      </c>
      <c r="T11" s="43" t="str">
        <f t="shared" si="2"/>
        <v/>
      </c>
      <c r="U11" s="43" t="str">
        <f t="shared" si="3"/>
        <v/>
      </c>
      <c r="V11" s="47" t="str">
        <f t="shared" si="4"/>
        <v/>
      </c>
      <c r="W11" s="47" t="str">
        <f t="shared" si="5"/>
        <v/>
      </c>
      <c r="AF11" s="80" t="str">
        <f>TEXT(E10,"JJJJ")</f>
        <v>1900</v>
      </c>
      <c r="AI11" s="308">
        <f t="shared" si="6"/>
        <v>0</v>
      </c>
      <c r="AJ11" s="309">
        <f t="shared" si="10"/>
        <v>1900</v>
      </c>
      <c r="AK11" s="69" t="str">
        <f t="shared" si="7"/>
        <v>01900</v>
      </c>
      <c r="AL11" s="69" t="str">
        <f t="shared" si="8"/>
        <v>01906</v>
      </c>
      <c r="AM11" s="69" t="str">
        <f t="shared" si="9"/>
        <v>01916</v>
      </c>
      <c r="AN11" s="69">
        <v>1</v>
      </c>
      <c r="AO11" s="69"/>
      <c r="AP11" s="69"/>
      <c r="AQ11">
        <v>4310</v>
      </c>
      <c r="AR11" t="s">
        <v>87</v>
      </c>
      <c r="AS11" t="s">
        <v>85</v>
      </c>
      <c r="BE11" s="68" t="s">
        <v>82</v>
      </c>
      <c r="BF11" s="100" t="s">
        <v>4</v>
      </c>
      <c r="BG11" s="29" t="s">
        <v>317</v>
      </c>
      <c r="BH11" s="1" t="s">
        <v>422</v>
      </c>
      <c r="BI11" s="1"/>
      <c r="BK11" s="23">
        <v>55.7</v>
      </c>
      <c r="BL11" t="s">
        <v>424</v>
      </c>
    </row>
    <row r="12" spans="1:78" ht="15" thickBot="1" x14ac:dyDescent="0.4">
      <c r="A12" s="74"/>
      <c r="B12" s="102"/>
      <c r="C12" s="303"/>
      <c r="D12" s="303"/>
      <c r="E12" s="104"/>
      <c r="F12" s="43" t="str">
        <f t="shared" si="0"/>
        <v/>
      </c>
      <c r="G12" s="77"/>
      <c r="L12" s="67">
        <f t="shared" si="1"/>
        <v>0</v>
      </c>
      <c r="M12" t="s">
        <v>306</v>
      </c>
      <c r="T12" s="43" t="str">
        <f t="shared" si="2"/>
        <v/>
      </c>
      <c r="U12" s="43" t="str">
        <f t="shared" si="3"/>
        <v/>
      </c>
      <c r="V12" s="47" t="str">
        <f t="shared" si="4"/>
        <v/>
      </c>
      <c r="W12" s="47" t="str">
        <f t="shared" si="5"/>
        <v/>
      </c>
      <c r="AF12" s="80" t="str">
        <f>TEXT(E11,"JJJJ")</f>
        <v>1900</v>
      </c>
      <c r="AI12" s="308">
        <f t="shared" si="6"/>
        <v>0</v>
      </c>
      <c r="AJ12" s="309">
        <f t="shared" si="10"/>
        <v>1900</v>
      </c>
      <c r="AK12" s="69" t="str">
        <f t="shared" si="7"/>
        <v>01900</v>
      </c>
      <c r="AL12" s="69" t="str">
        <f t="shared" si="8"/>
        <v>01906</v>
      </c>
      <c r="AM12" s="69" t="str">
        <f t="shared" si="9"/>
        <v>01916</v>
      </c>
      <c r="AN12" s="69">
        <v>1</v>
      </c>
      <c r="AO12" s="69"/>
      <c r="AP12" s="69"/>
      <c r="AQ12">
        <v>4312</v>
      </c>
      <c r="AR12" t="s">
        <v>88</v>
      </c>
      <c r="AS12" t="s">
        <v>85</v>
      </c>
      <c r="BA12" t="s">
        <v>316</v>
      </c>
      <c r="BB12" s="81" t="str">
        <f t="shared" ref="BB12:BB19" si="11">IF(E8&gt;0,TEXT(E8,"JJJJ"),"")</f>
        <v/>
      </c>
      <c r="BC12" s="81" t="str">
        <f t="shared" ref="BC12:BC19" si="12">CONCATENATE(BA12,BB12)</f>
        <v>1.1.</v>
      </c>
      <c r="BD12" s="96" t="str">
        <f t="shared" ref="BD12:BD19" si="13">IFERROR(VALUE(BC12),"")</f>
        <v/>
      </c>
      <c r="BE12" s="98" t="str">
        <f t="shared" ref="BE12:BE19" si="14">CONCATENATE(B8," ",A8)</f>
        <v xml:space="preserve"> </v>
      </c>
      <c r="BF12" s="99" t="str">
        <f t="shared" ref="BF12:BF19" si="15">IFERROR(DATEDIF(BD12,$BF$9,"Y"),"")</f>
        <v/>
      </c>
      <c r="BG12" s="23">
        <f t="shared" ref="BG12:BG19" si="16">IFERROR(VLOOKUP(BF12,BJ:BK,2,FALSE),0)</f>
        <v>0</v>
      </c>
      <c r="BH12">
        <f t="shared" ref="BH12:BH19" si="17">IF(BF12&lt;19,1,0)</f>
        <v>0</v>
      </c>
      <c r="BI12" s="23">
        <f>BG12</f>
        <v>0</v>
      </c>
      <c r="BJ12">
        <v>0</v>
      </c>
      <c r="BK12">
        <v>116.55</v>
      </c>
    </row>
    <row r="13" spans="1:78" ht="14.5" x14ac:dyDescent="0.35">
      <c r="A13" s="74"/>
      <c r="B13" s="102"/>
      <c r="C13" s="303"/>
      <c r="D13" s="303"/>
      <c r="E13" s="104"/>
      <c r="F13" s="43" t="str">
        <f t="shared" si="0"/>
        <v/>
      </c>
      <c r="G13" s="304"/>
      <c r="L13" s="67">
        <f t="shared" si="1"/>
        <v>0</v>
      </c>
      <c r="T13" s="43" t="str">
        <f t="shared" si="2"/>
        <v/>
      </c>
      <c r="U13" s="43" t="str">
        <f t="shared" si="3"/>
        <v/>
      </c>
      <c r="V13" s="47" t="str">
        <f t="shared" si="4"/>
        <v/>
      </c>
      <c r="W13" s="47" t="str">
        <f t="shared" si="5"/>
        <v/>
      </c>
      <c r="X13" s="30" t="s">
        <v>426</v>
      </c>
      <c r="Y13" s="32"/>
      <c r="AF13" s="80" t="str">
        <f>TEXT(E12,"JJJJ")</f>
        <v>1900</v>
      </c>
      <c r="AI13" s="308">
        <f t="shared" si="6"/>
        <v>0</v>
      </c>
      <c r="AJ13" s="309">
        <f t="shared" si="10"/>
        <v>1900</v>
      </c>
      <c r="AK13" s="69" t="str">
        <f t="shared" si="7"/>
        <v>01900</v>
      </c>
      <c r="AL13" s="69" t="str">
        <f t="shared" si="8"/>
        <v>01906</v>
      </c>
      <c r="AM13" s="69" t="str">
        <f t="shared" si="9"/>
        <v>01916</v>
      </c>
      <c r="AN13" s="69">
        <v>1</v>
      </c>
      <c r="AO13" s="69"/>
      <c r="AP13" s="69"/>
      <c r="AQ13">
        <v>4313</v>
      </c>
      <c r="AR13" t="s">
        <v>89</v>
      </c>
      <c r="AS13" t="s">
        <v>85</v>
      </c>
      <c r="BA13" t="s">
        <v>316</v>
      </c>
      <c r="BB13" s="81" t="str">
        <f t="shared" si="11"/>
        <v/>
      </c>
      <c r="BC13" s="81" t="str">
        <f t="shared" si="12"/>
        <v>1.1.</v>
      </c>
      <c r="BD13" s="96" t="str">
        <f t="shared" si="13"/>
        <v/>
      </c>
      <c r="BE13" s="98" t="str">
        <f t="shared" si="14"/>
        <v xml:space="preserve"> </v>
      </c>
      <c r="BF13" s="99" t="str">
        <f t="shared" si="15"/>
        <v/>
      </c>
      <c r="BG13" s="23">
        <f t="shared" si="16"/>
        <v>0</v>
      </c>
      <c r="BH13">
        <f t="shared" si="17"/>
        <v>0</v>
      </c>
      <c r="BI13" s="23">
        <f>BG13</f>
        <v>0</v>
      </c>
      <c r="BJ13">
        <v>1</v>
      </c>
      <c r="BK13">
        <v>116.55</v>
      </c>
    </row>
    <row r="14" spans="1:78" ht="14.15" customHeight="1" thickBot="1" x14ac:dyDescent="0.4">
      <c r="A14" s="165"/>
      <c r="B14" s="166"/>
      <c r="C14" s="305"/>
      <c r="D14" s="305"/>
      <c r="E14" s="167"/>
      <c r="F14" s="168" t="str">
        <f t="shared" ref="F14:F15" si="18">IF(E14&gt;20000,((DATEDIF(E14,$F$17,"Y"))),"")</f>
        <v/>
      </c>
      <c r="G14" s="26"/>
      <c r="L14" s="67">
        <f t="shared" si="1"/>
        <v>0</v>
      </c>
      <c r="M14" t="s">
        <v>301</v>
      </c>
      <c r="T14" s="43" t="str">
        <f t="shared" si="2"/>
        <v/>
      </c>
      <c r="U14" s="43" t="str">
        <f t="shared" si="3"/>
        <v/>
      </c>
      <c r="V14" s="47" t="str">
        <f t="shared" si="4"/>
        <v/>
      </c>
      <c r="W14" s="47" t="str">
        <f t="shared" si="5"/>
        <v/>
      </c>
      <c r="X14" s="225">
        <v>1</v>
      </c>
      <c r="Y14" s="5">
        <v>345</v>
      </c>
      <c r="AI14" s="308">
        <f t="shared" si="6"/>
        <v>0</v>
      </c>
      <c r="AJ14" s="309">
        <f t="shared" si="10"/>
        <v>1900</v>
      </c>
      <c r="AK14" s="69" t="str">
        <f t="shared" si="7"/>
        <v>01900</v>
      </c>
      <c r="AL14" s="69" t="str">
        <f t="shared" si="8"/>
        <v>01906</v>
      </c>
      <c r="AM14" s="69" t="str">
        <f t="shared" si="9"/>
        <v>01916</v>
      </c>
      <c r="AN14" s="69">
        <v>1</v>
      </c>
      <c r="AO14" s="69"/>
      <c r="AP14" s="69"/>
      <c r="AQ14">
        <v>4314</v>
      </c>
      <c r="AR14" t="s">
        <v>90</v>
      </c>
      <c r="AS14" t="s">
        <v>85</v>
      </c>
      <c r="BA14" t="s">
        <v>316</v>
      </c>
      <c r="BB14" s="81" t="str">
        <f t="shared" si="11"/>
        <v/>
      </c>
      <c r="BC14" s="81" t="str">
        <f t="shared" si="12"/>
        <v>1.1.</v>
      </c>
      <c r="BD14" s="96" t="str">
        <f t="shared" si="13"/>
        <v/>
      </c>
      <c r="BE14" s="98" t="str">
        <f t="shared" si="14"/>
        <v xml:space="preserve"> </v>
      </c>
      <c r="BF14" s="99" t="str">
        <f t="shared" si="15"/>
        <v/>
      </c>
      <c r="BG14" s="23">
        <f t="shared" si="16"/>
        <v>0</v>
      </c>
      <c r="BH14">
        <f t="shared" si="17"/>
        <v>0</v>
      </c>
      <c r="BI14" s="23">
        <f>IF(BG14=$BK$12,((IF((BH12+BH13)=2,$BK$11,BG14))),BG14)</f>
        <v>0</v>
      </c>
      <c r="BJ14">
        <v>2</v>
      </c>
      <c r="BK14">
        <v>116.55</v>
      </c>
    </row>
    <row r="15" spans="1:78" ht="14.15" hidden="1" customHeight="1" x14ac:dyDescent="0.35">
      <c r="A15" s="102"/>
      <c r="B15" s="102"/>
      <c r="C15" s="103"/>
      <c r="D15" s="103"/>
      <c r="E15" s="104"/>
      <c r="F15" s="43" t="str">
        <f t="shared" si="18"/>
        <v/>
      </c>
      <c r="G15" s="22" t="s">
        <v>324</v>
      </c>
      <c r="L15" s="67">
        <f t="shared" si="1"/>
        <v>0</v>
      </c>
      <c r="T15" s="43" t="str">
        <f t="shared" si="2"/>
        <v/>
      </c>
      <c r="U15" s="43" t="str">
        <f t="shared" si="3"/>
        <v/>
      </c>
      <c r="V15" s="47" t="str">
        <f t="shared" si="4"/>
        <v/>
      </c>
      <c r="W15" s="47" t="str">
        <f t="shared" si="5"/>
        <v/>
      </c>
      <c r="X15" s="225">
        <v>2</v>
      </c>
      <c r="Y15" s="5">
        <f>+Y14*2</f>
        <v>690</v>
      </c>
      <c r="AI15" s="308">
        <f t="shared" ref="AI15" si="19">E15</f>
        <v>0</v>
      </c>
      <c r="AJ15" s="309">
        <f t="shared" si="10"/>
        <v>1900</v>
      </c>
      <c r="AK15" s="69"/>
      <c r="AL15" s="69"/>
      <c r="AM15" s="69"/>
      <c r="AN15" s="69" t="s">
        <v>463</v>
      </c>
      <c r="AO15" s="69"/>
      <c r="AP15" s="69"/>
      <c r="BA15" t="s">
        <v>316</v>
      </c>
      <c r="BB15" s="81" t="str">
        <f t="shared" si="11"/>
        <v/>
      </c>
      <c r="BC15" s="81" t="str">
        <f t="shared" si="12"/>
        <v>1.1.</v>
      </c>
      <c r="BD15" s="96" t="str">
        <f t="shared" si="13"/>
        <v/>
      </c>
      <c r="BE15" s="98" t="str">
        <f t="shared" si="14"/>
        <v xml:space="preserve"> </v>
      </c>
      <c r="BF15" s="99" t="str">
        <f t="shared" si="15"/>
        <v/>
      </c>
      <c r="BG15" s="23">
        <f t="shared" si="16"/>
        <v>0</v>
      </c>
      <c r="BH15">
        <f t="shared" si="17"/>
        <v>0</v>
      </c>
      <c r="BI15" s="23">
        <f>IF(BG15=$BK$12,((IF((+BH12+BH13+BH14)&gt;1.99,$BK$11,BG15))),BG15)</f>
        <v>0</v>
      </c>
      <c r="BJ15">
        <v>3</v>
      </c>
      <c r="BK15">
        <v>116.55</v>
      </c>
    </row>
    <row r="16" spans="1:78" ht="14.5" x14ac:dyDescent="0.35">
      <c r="C16" s="113" t="str">
        <f>IF(AND(D8&gt;1,C8=""),"Bitte auch N-Nummer eintragen","")</f>
        <v/>
      </c>
      <c r="D16" s="67"/>
      <c r="E16" s="78"/>
      <c r="F16"/>
      <c r="L16" s="67"/>
      <c r="M16" s="149">
        <f>DAY(DATE(YEAR(F17),MONTH(F17)+1,1)-1)</f>
        <v>31</v>
      </c>
      <c r="N16" s="146" t="s">
        <v>374</v>
      </c>
      <c r="O16" s="147" t="s">
        <v>375</v>
      </c>
      <c r="P16" s="53" t="s">
        <v>376</v>
      </c>
      <c r="X16" s="225">
        <v>3</v>
      </c>
      <c r="Y16" s="5">
        <v>1035</v>
      </c>
      <c r="AF16" s="80" t="str">
        <f>TEXT(E15,"JJJJ")</f>
        <v>1900</v>
      </c>
      <c r="AI16" s="308">
        <f>IF(E16&gt;1,(MONTH(E16)),0)</f>
        <v>0</v>
      </c>
      <c r="AJ16" s="309">
        <f t="shared" si="10"/>
        <v>1900</v>
      </c>
      <c r="AK16" s="69" t="str">
        <f>CONCATENATE(AI16,AJ16)</f>
        <v>01900</v>
      </c>
      <c r="AL16" s="69" t="str">
        <f>CONCATENATE(AI16,(AJ16+6))</f>
        <v>01906</v>
      </c>
      <c r="AM16" s="69" t="str">
        <f>CONCATENATE(AI16,(AJ16+16))</f>
        <v>01916</v>
      </c>
      <c r="AN16" s="69">
        <v>1</v>
      </c>
      <c r="AO16" s="69"/>
      <c r="AP16" s="69"/>
      <c r="AQ16">
        <v>4315</v>
      </c>
      <c r="AR16" t="s">
        <v>91</v>
      </c>
      <c r="AS16" t="s">
        <v>85</v>
      </c>
      <c r="BA16" t="s">
        <v>316</v>
      </c>
      <c r="BB16" s="81" t="str">
        <f t="shared" si="11"/>
        <v/>
      </c>
      <c r="BC16" s="81" t="str">
        <f t="shared" si="12"/>
        <v>1.1.</v>
      </c>
      <c r="BD16" s="96" t="str">
        <f t="shared" si="13"/>
        <v/>
      </c>
      <c r="BE16" s="98" t="str">
        <f t="shared" si="14"/>
        <v xml:space="preserve"> </v>
      </c>
      <c r="BF16" s="99" t="str">
        <f t="shared" si="15"/>
        <v/>
      </c>
      <c r="BG16" s="23">
        <f t="shared" si="16"/>
        <v>0</v>
      </c>
      <c r="BH16">
        <f t="shared" si="17"/>
        <v>0</v>
      </c>
      <c r="BI16" s="23">
        <f>IF(BG16=$BK$12,((IF((+BH12+BH13+BH14+BH15)&gt;1.99,$BK$11,BG16))),BG16)</f>
        <v>0</v>
      </c>
      <c r="BJ16">
        <v>4</v>
      </c>
      <c r="BK16">
        <v>116.55</v>
      </c>
    </row>
    <row r="17" spans="1:63" ht="14.5" x14ac:dyDescent="0.35">
      <c r="A17" t="s">
        <v>2</v>
      </c>
      <c r="B17" s="319"/>
      <c r="C17" s="319"/>
      <c r="D17" s="67"/>
      <c r="E17" s="105" t="s">
        <v>38</v>
      </c>
      <c r="F17" s="106">
        <v>45658</v>
      </c>
      <c r="G17" s="156" t="str">
        <f>CONCATENATE(M16," Tage")</f>
        <v>31 Tage</v>
      </c>
      <c r="M17" s="150" t="s">
        <v>379</v>
      </c>
      <c r="N17" s="146" t="str">
        <f>TEXT(F17,"MMMM")</f>
        <v>Januar</v>
      </c>
      <c r="O17" s="148">
        <f>YEAR(F17)</f>
        <v>2025</v>
      </c>
      <c r="P17" s="53"/>
      <c r="X17" s="225">
        <v>4</v>
      </c>
      <c r="Y17" s="5">
        <v>1318</v>
      </c>
      <c r="AI17" s="69"/>
      <c r="AJ17" s="309"/>
      <c r="AK17" s="69"/>
      <c r="AL17" s="69"/>
      <c r="AM17" s="69"/>
      <c r="AN17" s="69"/>
      <c r="AO17" s="69"/>
      <c r="AP17" s="69"/>
      <c r="AQ17">
        <v>4316</v>
      </c>
      <c r="AR17" t="s">
        <v>92</v>
      </c>
      <c r="AS17" t="s">
        <v>85</v>
      </c>
      <c r="BA17" t="s">
        <v>316</v>
      </c>
      <c r="BB17" s="81" t="str">
        <f t="shared" si="11"/>
        <v/>
      </c>
      <c r="BC17" s="81" t="str">
        <f t="shared" si="12"/>
        <v>1.1.</v>
      </c>
      <c r="BD17" s="96" t="str">
        <f t="shared" si="13"/>
        <v/>
      </c>
      <c r="BE17" s="98" t="str">
        <f t="shared" si="14"/>
        <v xml:space="preserve"> </v>
      </c>
      <c r="BF17" s="99" t="str">
        <f t="shared" si="15"/>
        <v/>
      </c>
      <c r="BG17" s="23">
        <f t="shared" si="16"/>
        <v>0</v>
      </c>
      <c r="BH17">
        <f t="shared" si="17"/>
        <v>0</v>
      </c>
      <c r="BI17" s="23">
        <f>IF(BG17=$BK$12,((IF((+BH12+BH13+BH14+BH15+BH16)&gt;1.99,$BK$11,BG17))),BG17)</f>
        <v>0</v>
      </c>
      <c r="BJ17">
        <v>5</v>
      </c>
      <c r="BK17">
        <v>116.55</v>
      </c>
    </row>
    <row r="18" spans="1:63" ht="14.5" x14ac:dyDescent="0.35">
      <c r="A18" t="s">
        <v>23</v>
      </c>
      <c r="B18" s="319"/>
      <c r="C18" s="319"/>
      <c r="D18" s="67"/>
      <c r="E18" s="107"/>
      <c r="N18" s="48"/>
      <c r="V18" s="23"/>
      <c r="X18" s="225">
        <v>5</v>
      </c>
      <c r="Y18" s="5">
        <v>1539</v>
      </c>
      <c r="AI18" s="308"/>
      <c r="AJ18" s="309" t="s">
        <v>467</v>
      </c>
      <c r="AK18" s="69">
        <f>_xlfn.XLOOKUP($AK$5,AL8:AL16,AN8:AN16,0)</f>
        <v>0</v>
      </c>
      <c r="AL18" s="69" t="str">
        <f>IFERROR(VLOOKUP(AK18,AK8:AL16,2,FALSE),"")</f>
        <v/>
      </c>
      <c r="AM18" s="69"/>
      <c r="AN18" s="69"/>
      <c r="AO18" s="69"/>
      <c r="AP18" s="69"/>
      <c r="AQ18">
        <v>4317</v>
      </c>
      <c r="AR18" t="s">
        <v>93</v>
      </c>
      <c r="AS18" t="s">
        <v>85</v>
      </c>
      <c r="BA18" t="s">
        <v>316</v>
      </c>
      <c r="BB18" s="81" t="str">
        <f t="shared" si="11"/>
        <v/>
      </c>
      <c r="BC18" s="81" t="str">
        <f t="shared" si="12"/>
        <v>1.1.</v>
      </c>
      <c r="BD18" s="96" t="str">
        <f t="shared" si="13"/>
        <v/>
      </c>
      <c r="BE18" s="98" t="str">
        <f t="shared" si="14"/>
        <v xml:space="preserve"> </v>
      </c>
      <c r="BF18" s="99" t="str">
        <f t="shared" si="15"/>
        <v/>
      </c>
      <c r="BG18" s="23">
        <f t="shared" si="16"/>
        <v>0</v>
      </c>
      <c r="BH18">
        <f t="shared" si="17"/>
        <v>0</v>
      </c>
      <c r="BI18" s="23">
        <f>IF(BG18=$BK$12,((IF((+BH12+BH13+BH14+BH15+BH16+BH17)&gt;1.99,$BK$11,BG18))),BG18)</f>
        <v>0</v>
      </c>
      <c r="BJ18">
        <v>6</v>
      </c>
      <c r="BK18">
        <v>116.55</v>
      </c>
    </row>
    <row r="19" spans="1:63" ht="14.5" x14ac:dyDescent="0.35">
      <c r="A19" t="s">
        <v>22</v>
      </c>
      <c r="B19" s="320" t="str">
        <f>IFERROR((VLOOKUP(B18,AQ:AR,2,FALSE)),"")</f>
        <v/>
      </c>
      <c r="C19" s="320"/>
      <c r="D19" s="67"/>
      <c r="E19" s="78" t="s">
        <v>354</v>
      </c>
      <c r="F19" s="144">
        <v>45658</v>
      </c>
      <c r="N19" s="48"/>
      <c r="V19" s="23"/>
      <c r="X19" s="225">
        <v>6</v>
      </c>
      <c r="Y19" s="5">
        <v>1725</v>
      </c>
      <c r="AI19" s="69"/>
      <c r="AJ19" s="309" t="s">
        <v>468</v>
      </c>
      <c r="AK19" s="69">
        <f>_xlfn.XLOOKUP($AK$5,AM8:AM16,AN8:AN16,0)</f>
        <v>0</v>
      </c>
      <c r="AL19" s="69"/>
      <c r="AM19" s="69"/>
      <c r="AN19" s="69"/>
      <c r="AO19" s="69"/>
      <c r="AP19" s="69"/>
      <c r="AQ19">
        <v>4322</v>
      </c>
      <c r="AR19" t="s">
        <v>94</v>
      </c>
      <c r="AS19" t="s">
        <v>85</v>
      </c>
      <c r="BA19" t="s">
        <v>316</v>
      </c>
      <c r="BB19" s="81" t="str">
        <f t="shared" si="11"/>
        <v/>
      </c>
      <c r="BC19" s="81" t="str">
        <f t="shared" si="12"/>
        <v>1.1.</v>
      </c>
      <c r="BD19" s="96" t="str">
        <f t="shared" si="13"/>
        <v/>
      </c>
      <c r="BE19" s="98" t="str">
        <f t="shared" si="14"/>
        <v xml:space="preserve"> </v>
      </c>
      <c r="BF19" s="99" t="str">
        <f t="shared" si="15"/>
        <v/>
      </c>
      <c r="BG19" s="23">
        <f t="shared" si="16"/>
        <v>0</v>
      </c>
      <c r="BH19">
        <f t="shared" si="17"/>
        <v>0</v>
      </c>
      <c r="BI19" s="23">
        <f>IF(BG19=$BK$12,((IF((+BH12+BH13+BH14+BH15+BH16+BH17+BH18)&gt;1.99,$BK$11,BG19))),BG19)</f>
        <v>0</v>
      </c>
      <c r="BJ19">
        <v>7</v>
      </c>
      <c r="BK19">
        <v>116.55</v>
      </c>
    </row>
    <row r="20" spans="1:63" ht="15" thickBot="1" x14ac:dyDescent="0.4">
      <c r="D20" s="67"/>
      <c r="E20" s="258" t="str">
        <f>IF(F19&lt;45658,"Berechnungsblatt ist erst ab 2025 gültig","")</f>
        <v/>
      </c>
      <c r="N20" s="48"/>
      <c r="V20" s="23"/>
      <c r="X20" s="225">
        <v>7</v>
      </c>
      <c r="Y20" s="5">
        <v>1904</v>
      </c>
      <c r="AI20" s="69"/>
      <c r="AJ20" s="310" t="s">
        <v>469</v>
      </c>
      <c r="AK20" s="69">
        <f>SUM(AK18:AK19)</f>
        <v>0</v>
      </c>
      <c r="AL20" s="69"/>
      <c r="AM20" s="69"/>
      <c r="AN20" s="69"/>
      <c r="AO20" s="69"/>
      <c r="AP20" s="69"/>
      <c r="AQ20">
        <v>4323</v>
      </c>
      <c r="AR20" t="s">
        <v>95</v>
      </c>
      <c r="AS20" t="s">
        <v>85</v>
      </c>
      <c r="BB20" s="80" t="e">
        <f>IF(#REF!&gt;0,TEXT(#REF!,"JJJJ"),"")</f>
        <v>#REF!</v>
      </c>
      <c r="BC20" s="80"/>
      <c r="BD20" s="80"/>
      <c r="BE20" s="101"/>
      <c r="BF20" s="101"/>
      <c r="BG20" s="23"/>
      <c r="BJ20">
        <v>8</v>
      </c>
      <c r="BK20">
        <v>116.55</v>
      </c>
    </row>
    <row r="21" spans="1:63" ht="14.5" x14ac:dyDescent="0.35">
      <c r="A21" s="67"/>
      <c r="B21" s="110" t="str">
        <f>IF(E8="","Art der Unterstützung",(IFERROR(B162,"Art der Unterstützung")))</f>
        <v>Art der Unterstützung</v>
      </c>
      <c r="C21" s="111"/>
      <c r="E21" t="s">
        <v>78</v>
      </c>
      <c r="F21"/>
      <c r="M21" t="s">
        <v>79</v>
      </c>
      <c r="N21" s="48"/>
      <c r="V21" s="23"/>
      <c r="X21" s="225">
        <v>8</v>
      </c>
      <c r="Y21" s="5">
        <v>2091</v>
      </c>
      <c r="AI21" s="69"/>
      <c r="AJ21" s="69"/>
      <c r="AK21" s="69" t="str">
        <f>IF(AK20&gt;0.5,"Anpassung der Pauschalen ab 6./16. Geburtstag beachten (Korrekturfeld).","")</f>
        <v/>
      </c>
      <c r="AL21" s="69"/>
      <c r="AM21" s="69"/>
      <c r="AN21" s="69"/>
      <c r="AO21" s="69"/>
      <c r="AP21" s="69"/>
      <c r="BB21" s="80"/>
      <c r="BC21" s="80"/>
      <c r="BD21" s="80"/>
      <c r="BE21" s="101"/>
      <c r="BF21" s="101"/>
      <c r="BG21" s="23"/>
      <c r="BJ21">
        <v>9</v>
      </c>
      <c r="BK21">
        <v>116.55</v>
      </c>
    </row>
    <row r="22" spans="1:63" ht="14.5" x14ac:dyDescent="0.35">
      <c r="A22" s="67"/>
      <c r="B22" s="225" t="s">
        <v>421</v>
      </c>
      <c r="C22" s="153">
        <f>IF(F156&gt;0.01,F156,0)</f>
        <v>0</v>
      </c>
      <c r="E22" t="s">
        <v>454</v>
      </c>
      <c r="F22" s="117"/>
      <c r="G22" s="157"/>
      <c r="N22" s="48"/>
      <c r="V22" s="23"/>
      <c r="X22" s="225">
        <v>9</v>
      </c>
      <c r="Y22" s="5">
        <v>2270</v>
      </c>
      <c r="AI22" s="69"/>
      <c r="AJ22" s="69"/>
      <c r="AK22" s="69"/>
      <c r="AL22" s="69"/>
      <c r="AM22" s="69"/>
      <c r="AN22" s="69"/>
      <c r="AO22" s="69"/>
      <c r="AP22" s="69"/>
      <c r="AQ22">
        <v>4324</v>
      </c>
      <c r="AR22" t="s">
        <v>96</v>
      </c>
      <c r="AS22" t="s">
        <v>85</v>
      </c>
      <c r="BB22" s="80"/>
      <c r="BC22" s="80"/>
      <c r="BD22" s="80"/>
      <c r="BE22" s="101"/>
      <c r="BF22" s="97" t="s">
        <v>8</v>
      </c>
      <c r="BG22" s="49">
        <f>SUM(BG12:BG21)</f>
        <v>0</v>
      </c>
      <c r="BJ22">
        <v>10</v>
      </c>
      <c r="BK22">
        <v>116.55</v>
      </c>
    </row>
    <row r="23" spans="1:63" ht="15" thickBot="1" x14ac:dyDescent="0.4">
      <c r="A23" s="67"/>
      <c r="B23" s="112" t="s">
        <v>75</v>
      </c>
      <c r="C23" s="153">
        <f>IF(T159&gt;0.01,T159,0)</f>
        <v>0</v>
      </c>
      <c r="F23"/>
      <c r="N23" s="48"/>
      <c r="V23" s="23"/>
      <c r="X23" s="256">
        <v>10</v>
      </c>
      <c r="Y23" s="257">
        <v>2456</v>
      </c>
      <c r="AI23" s="69"/>
      <c r="AJ23" s="69"/>
      <c r="AK23" s="69"/>
      <c r="AL23" s="69"/>
      <c r="AM23" s="69"/>
      <c r="AN23" s="69"/>
      <c r="AO23" s="69"/>
      <c r="AP23" s="69"/>
      <c r="BB23" s="80"/>
      <c r="BC23" s="80"/>
      <c r="BD23" s="80"/>
      <c r="BE23" s="101"/>
      <c r="BF23" s="97"/>
      <c r="BG23" s="49"/>
    </row>
    <row r="24" spans="1:63" ht="14.5" x14ac:dyDescent="0.35">
      <c r="A24" s="67"/>
      <c r="B24" s="112" t="s">
        <v>76</v>
      </c>
      <c r="C24" s="153">
        <f>IF(T160&gt;0.01,T160,0)</f>
        <v>0</v>
      </c>
      <c r="E24" s="151" t="str">
        <f>IF(G8=0,"",((IF(A152="Überschuss","Überschuss",""))))</f>
        <v/>
      </c>
      <c r="F24" s="152" t="str">
        <f>IF(G8=0,"",((IF(A152="Überschuss",-E153,""))))</f>
        <v/>
      </c>
      <c r="L24">
        <f>IFERROR(VALUE(F24),0)</f>
        <v>0</v>
      </c>
      <c r="M24" t="s">
        <v>452</v>
      </c>
      <c r="N24" s="48"/>
      <c r="V24" s="23"/>
      <c r="AI24" s="69"/>
      <c r="AJ24" s="69"/>
      <c r="AK24" s="69"/>
      <c r="AL24" s="69"/>
      <c r="AM24" s="69"/>
      <c r="AN24" s="69"/>
      <c r="AO24" s="69"/>
      <c r="AP24" s="69"/>
      <c r="AQ24">
        <v>4325</v>
      </c>
      <c r="AR24" t="s">
        <v>97</v>
      </c>
      <c r="AS24" t="s">
        <v>85</v>
      </c>
      <c r="BB24" s="80" t="e">
        <f>IF(#REF!&gt;0,TEXT(#REF!,"JJJJ"),"")</f>
        <v>#REF!</v>
      </c>
      <c r="BC24" s="80"/>
      <c r="BD24" s="80"/>
      <c r="BE24" s="101"/>
      <c r="BF24" s="101"/>
      <c r="BG24" s="23"/>
      <c r="BJ24">
        <v>11</v>
      </c>
      <c r="BK24">
        <v>116.55</v>
      </c>
    </row>
    <row r="25" spans="1:63" ht="14.5" thickBot="1" x14ac:dyDescent="0.35">
      <c r="A25" s="67"/>
      <c r="B25" s="127" t="s">
        <v>323</v>
      </c>
      <c r="C25" s="154">
        <f>IF(B162="teilunterstützt / arbeitet",F150,0)</f>
        <v>0</v>
      </c>
      <c r="E25" s="294" t="str">
        <f>IF(E24="Überschuss","muss im Folgemonat bei ''weitere Einnahmen'' eingetragen werden","")</f>
        <v/>
      </c>
      <c r="G25" s="158"/>
      <c r="I25" s="21" t="str">
        <f>IF(AND(E9&gt;0,C9=""),"Achtung! Alle N und AG-Nummern eintragen","")</f>
        <v/>
      </c>
      <c r="N25" s="48"/>
      <c r="V25" s="23"/>
      <c r="BG25" s="23"/>
      <c r="BJ25">
        <v>12</v>
      </c>
      <c r="BK25">
        <v>116.55</v>
      </c>
    </row>
    <row r="26" spans="1:63" hidden="1" x14ac:dyDescent="0.3">
      <c r="A26" s="67"/>
      <c r="B26" s="67"/>
      <c r="C26" s="79"/>
      <c r="G26" s="159" t="s">
        <v>328</v>
      </c>
      <c r="N26" s="48"/>
      <c r="V26" s="23"/>
      <c r="BG26" s="23"/>
      <c r="BJ26">
        <v>13</v>
      </c>
      <c r="BK26">
        <v>116.55</v>
      </c>
    </row>
    <row r="27" spans="1:63" ht="19" customHeight="1" thickBot="1" x14ac:dyDescent="0.35">
      <c r="E27" s="293" t="str">
        <f>IF(L24&gt;7500,"Bitte Ablösung von der Sozialhilfe prüfen (hoher Überschuss).","")</f>
        <v/>
      </c>
      <c r="G27" s="158"/>
      <c r="P27" s="49"/>
      <c r="Q27" s="49"/>
      <c r="R27" s="49"/>
      <c r="S27" s="49"/>
      <c r="AQ27">
        <v>4332</v>
      </c>
      <c r="AR27" t="s">
        <v>274</v>
      </c>
      <c r="AS27" t="s">
        <v>85</v>
      </c>
      <c r="BG27" s="23"/>
      <c r="BJ27">
        <v>14</v>
      </c>
      <c r="BK27">
        <v>116.55</v>
      </c>
    </row>
    <row r="28" spans="1:63" ht="49" customHeight="1" x14ac:dyDescent="0.3">
      <c r="A28" s="160" t="s">
        <v>410</v>
      </c>
      <c r="B28" s="4" t="s">
        <v>33</v>
      </c>
      <c r="C28" s="13" t="s">
        <v>387</v>
      </c>
      <c r="D28" s="249" t="s">
        <v>395</v>
      </c>
      <c r="E28" s="137" t="s">
        <v>400</v>
      </c>
      <c r="F28" s="3" t="s">
        <v>438</v>
      </c>
      <c r="G28" s="3" t="s">
        <v>369</v>
      </c>
      <c r="N28" s="50" t="s">
        <v>34</v>
      </c>
      <c r="P28" s="50" t="s">
        <v>394</v>
      </c>
      <c r="Q28" s="50" t="s">
        <v>14</v>
      </c>
      <c r="R28" s="51" t="s">
        <v>13</v>
      </c>
      <c r="S28" s="49"/>
      <c r="T28" s="51" t="s">
        <v>371</v>
      </c>
      <c r="AQ28">
        <v>4333</v>
      </c>
      <c r="AR28" t="s">
        <v>275</v>
      </c>
      <c r="AS28" t="s">
        <v>98</v>
      </c>
      <c r="BG28" s="23"/>
      <c r="BJ28">
        <v>15</v>
      </c>
      <c r="BK28">
        <v>116.55</v>
      </c>
    </row>
    <row r="29" spans="1:63" x14ac:dyDescent="0.3">
      <c r="A29" s="161" t="str">
        <f t="shared" ref="A29:A36" si="20">IF($C$8&gt;1,((CONCATENATE(" ",B8," ",A8))),"")</f>
        <v/>
      </c>
      <c r="B29" s="12">
        <v>0</v>
      </c>
      <c r="C29" s="120">
        <f>IF(D29="IPV",0,BI12)</f>
        <v>0</v>
      </c>
      <c r="D29" s="198"/>
      <c r="E29" s="120">
        <v>0</v>
      </c>
      <c r="F29" s="10">
        <v>0</v>
      </c>
      <c r="G29" s="10">
        <v>0</v>
      </c>
      <c r="L29" s="143" t="s">
        <v>382</v>
      </c>
      <c r="M29" t="s">
        <v>353</v>
      </c>
      <c r="N29" s="52" t="str">
        <f t="shared" ref="N29:N40" si="21">IF(D29="IPV",(CONCATENATE(A29,", Fr. ",(TEXT(C29,"0.00"))," (IPV)",)),IF(C29&lt;&gt;0,(CONCATENATE(A29,", Fr. ",(TEXT(C29,"0.00"))," ",D29)),""))</f>
        <v/>
      </c>
      <c r="O29" s="52" t="str">
        <f t="shared" ref="O29:O39" si="22">IF(C30&lt;&gt;0," / ","")</f>
        <v/>
      </c>
      <c r="P29" s="23" t="s">
        <v>347</v>
      </c>
      <c r="Q29" s="23">
        <f>MROUND(IF($F$29&gt;0.01,$F$29/$G$8,E29*$M$16),0.05)</f>
        <v>0</v>
      </c>
      <c r="R29" s="23">
        <f t="shared" ref="R29:R40" si="23">IF(Q29&lt;20,20,Q29)</f>
        <v>20</v>
      </c>
      <c r="S29" s="49"/>
      <c r="T29" s="23">
        <f t="shared" ref="T29:T34" si="24">IF(G29&gt;100,100,G29)*V29</f>
        <v>0</v>
      </c>
      <c r="U29" s="52" t="str">
        <f>IF(G41&lt;&gt;0,(CONCATENATE(" Verpflegungsabzug Arbeitgeber, Fr. ",(TEXT(T41,"0.00")))),"")</f>
        <v/>
      </c>
      <c r="V29" s="56">
        <f>SUM(D44:F44)</f>
        <v>0</v>
      </c>
      <c r="AQ29">
        <v>4334</v>
      </c>
      <c r="AR29" t="s">
        <v>99</v>
      </c>
      <c r="AS29" t="s">
        <v>98</v>
      </c>
      <c r="BG29" s="23"/>
      <c r="BJ29">
        <v>16</v>
      </c>
      <c r="BK29">
        <v>116.55</v>
      </c>
    </row>
    <row r="30" spans="1:63" x14ac:dyDescent="0.3">
      <c r="A30" s="161" t="str">
        <f t="shared" si="20"/>
        <v/>
      </c>
      <c r="B30" s="19"/>
      <c r="C30" s="120">
        <f t="shared" ref="C30:C40" si="25">IF(D30="IPV",0,BI13)</f>
        <v>0</v>
      </c>
      <c r="D30" s="198"/>
      <c r="E30" s="120">
        <v>0</v>
      </c>
      <c r="F30" s="15">
        <f>IF(E41&gt;1,1,0)</f>
        <v>0</v>
      </c>
      <c r="G30" s="10"/>
      <c r="M30" t="s">
        <v>368</v>
      </c>
      <c r="N30" s="52" t="str">
        <f t="shared" si="21"/>
        <v/>
      </c>
      <c r="O30" s="52" t="str">
        <f t="shared" si="22"/>
        <v/>
      </c>
      <c r="P30" s="23" t="s">
        <v>385</v>
      </c>
      <c r="Q30" s="23" t="str">
        <f t="shared" ref="Q30:Q38" si="26">IF(C9&gt;1,((MROUND(IF($F$29&gt;0.01,$F$29/$G$8,E30*$M$16),0.05))),"")</f>
        <v/>
      </c>
      <c r="R30" s="23" t="str">
        <f t="shared" si="23"/>
        <v/>
      </c>
      <c r="S30" s="49"/>
      <c r="T30" s="23">
        <f t="shared" si="24"/>
        <v>0</v>
      </c>
      <c r="V30" s="56">
        <f t="shared" ref="V30:V34" si="27">SUM(D45:F45)</f>
        <v>0</v>
      </c>
      <c r="BG30" s="23"/>
      <c r="BJ30">
        <v>17</v>
      </c>
      <c r="BK30">
        <v>116.55</v>
      </c>
    </row>
    <row r="31" spans="1:63" x14ac:dyDescent="0.3">
      <c r="A31" s="161" t="str">
        <f t="shared" si="20"/>
        <v/>
      </c>
      <c r="B31" s="19"/>
      <c r="C31" s="120">
        <f t="shared" si="25"/>
        <v>0</v>
      </c>
      <c r="D31" s="198"/>
      <c r="E31" s="120">
        <v>0</v>
      </c>
      <c r="F31" s="15">
        <f>IF(F29&gt;1,1,0)</f>
        <v>0</v>
      </c>
      <c r="G31" s="10"/>
      <c r="N31" s="52" t="str">
        <f t="shared" si="21"/>
        <v/>
      </c>
      <c r="O31" s="52" t="str">
        <f t="shared" si="22"/>
        <v/>
      </c>
      <c r="P31" s="23"/>
      <c r="Q31" s="23" t="str">
        <f t="shared" si="26"/>
        <v/>
      </c>
      <c r="R31" s="23" t="str">
        <f t="shared" si="23"/>
        <v/>
      </c>
      <c r="S31" s="49"/>
      <c r="T31" s="23">
        <f t="shared" si="24"/>
        <v>0</v>
      </c>
      <c r="V31" s="56">
        <f t="shared" si="27"/>
        <v>0</v>
      </c>
      <c r="AQ31">
        <v>4663</v>
      </c>
      <c r="AR31" t="s">
        <v>100</v>
      </c>
      <c r="AS31" t="s">
        <v>101</v>
      </c>
      <c r="BG31" s="23"/>
      <c r="BJ31">
        <v>18</v>
      </c>
      <c r="BK31">
        <v>116.55</v>
      </c>
    </row>
    <row r="32" spans="1:63" x14ac:dyDescent="0.3">
      <c r="A32" s="161" t="str">
        <f t="shared" si="20"/>
        <v/>
      </c>
      <c r="B32" s="19"/>
      <c r="C32" s="120">
        <f t="shared" si="25"/>
        <v>0</v>
      </c>
      <c r="D32" s="198"/>
      <c r="E32" s="120">
        <v>0</v>
      </c>
      <c r="F32" s="15">
        <f>+F30+F31</f>
        <v>0</v>
      </c>
      <c r="G32" s="10"/>
      <c r="N32" s="52" t="str">
        <f t="shared" si="21"/>
        <v/>
      </c>
      <c r="O32" s="52" t="str">
        <f t="shared" si="22"/>
        <v/>
      </c>
      <c r="P32" s="23"/>
      <c r="Q32" s="23" t="str">
        <f t="shared" si="26"/>
        <v/>
      </c>
      <c r="R32" s="23" t="str">
        <f t="shared" si="23"/>
        <v/>
      </c>
      <c r="S32" s="49"/>
      <c r="T32" s="23">
        <f t="shared" si="24"/>
        <v>0</v>
      </c>
      <c r="V32" s="56">
        <f t="shared" si="27"/>
        <v>0</v>
      </c>
      <c r="AQ32">
        <v>4665</v>
      </c>
      <c r="AR32" t="s">
        <v>102</v>
      </c>
      <c r="AS32" t="s">
        <v>101</v>
      </c>
      <c r="BG32" s="23"/>
      <c r="BJ32">
        <v>19</v>
      </c>
      <c r="BK32">
        <v>257.95</v>
      </c>
    </row>
    <row r="33" spans="1:76" x14ac:dyDescent="0.3">
      <c r="A33" s="161" t="str">
        <f t="shared" si="20"/>
        <v/>
      </c>
      <c r="B33" s="19"/>
      <c r="C33" s="120">
        <f t="shared" si="25"/>
        <v>0</v>
      </c>
      <c r="D33" s="198"/>
      <c r="E33" s="120">
        <v>0</v>
      </c>
      <c r="F33" s="254" t="str">
        <f>IF(F32=2,"nur pro Person und Tag","")</f>
        <v/>
      </c>
      <c r="G33" s="10"/>
      <c r="N33" s="52" t="str">
        <f t="shared" si="21"/>
        <v/>
      </c>
      <c r="O33" s="52" t="str">
        <f t="shared" si="22"/>
        <v/>
      </c>
      <c r="P33" s="23"/>
      <c r="Q33" s="23" t="str">
        <f t="shared" si="26"/>
        <v/>
      </c>
      <c r="R33" s="23" t="str">
        <f t="shared" si="23"/>
        <v/>
      </c>
      <c r="S33" s="49"/>
      <c r="T33" s="23">
        <f t="shared" si="24"/>
        <v>0</v>
      </c>
      <c r="V33" s="56">
        <f t="shared" si="27"/>
        <v>0</v>
      </c>
      <c r="AQ33">
        <v>4800</v>
      </c>
      <c r="AR33" t="s">
        <v>103</v>
      </c>
      <c r="AS33" t="s">
        <v>101</v>
      </c>
      <c r="BG33" s="23"/>
      <c r="BJ33">
        <v>20</v>
      </c>
      <c r="BK33">
        <v>257.95</v>
      </c>
    </row>
    <row r="34" spans="1:76" x14ac:dyDescent="0.3">
      <c r="A34" s="161" t="str">
        <f t="shared" si="20"/>
        <v/>
      </c>
      <c r="B34" s="19"/>
      <c r="C34" s="120">
        <f t="shared" si="25"/>
        <v>0</v>
      </c>
      <c r="D34" s="198"/>
      <c r="E34" s="120">
        <v>0</v>
      </c>
      <c r="F34" s="254" t="str">
        <f>IF(F32=2,"ODER nur Total LU ausfüllen!","")</f>
        <v/>
      </c>
      <c r="G34" s="10"/>
      <c r="N34" s="52" t="str">
        <f t="shared" si="21"/>
        <v/>
      </c>
      <c r="O34" s="52" t="str">
        <f t="shared" si="22"/>
        <v/>
      </c>
      <c r="P34" s="23"/>
      <c r="Q34" s="23" t="str">
        <f t="shared" si="26"/>
        <v/>
      </c>
      <c r="R34" s="23" t="str">
        <f t="shared" si="23"/>
        <v/>
      </c>
      <c r="S34" s="49"/>
      <c r="T34" s="23">
        <f t="shared" si="24"/>
        <v>0</v>
      </c>
      <c r="V34" s="56">
        <f t="shared" si="27"/>
        <v>0</v>
      </c>
      <c r="BG34" s="23"/>
      <c r="BJ34">
        <v>21</v>
      </c>
      <c r="BK34">
        <v>257.95</v>
      </c>
    </row>
    <row r="35" spans="1:76" hidden="1" x14ac:dyDescent="0.3">
      <c r="A35" s="161" t="str">
        <f t="shared" si="20"/>
        <v/>
      </c>
      <c r="B35" s="19"/>
      <c r="C35" s="120">
        <f t="shared" si="25"/>
        <v>0</v>
      </c>
      <c r="D35" s="155"/>
      <c r="E35" s="120"/>
      <c r="F35" s="16"/>
      <c r="G35" s="132" t="s">
        <v>324</v>
      </c>
      <c r="N35" s="52" t="str">
        <f t="shared" si="21"/>
        <v/>
      </c>
      <c r="O35" s="52" t="str">
        <f t="shared" si="22"/>
        <v/>
      </c>
      <c r="P35" s="23"/>
      <c r="Q35" s="23" t="str">
        <f t="shared" si="26"/>
        <v/>
      </c>
      <c r="R35" s="23" t="str">
        <f t="shared" si="23"/>
        <v/>
      </c>
      <c r="S35" s="49"/>
      <c r="T35" s="49"/>
      <c r="BG35" s="23"/>
      <c r="BJ35">
        <v>22</v>
      </c>
      <c r="BK35">
        <v>257.95</v>
      </c>
    </row>
    <row r="36" spans="1:76" hidden="1" x14ac:dyDescent="0.3">
      <c r="A36" s="161" t="str">
        <f t="shared" si="20"/>
        <v/>
      </c>
      <c r="B36" s="19"/>
      <c r="C36" s="120">
        <f t="shared" si="25"/>
        <v>0</v>
      </c>
      <c r="D36" s="155"/>
      <c r="E36" s="120"/>
      <c r="F36" s="16"/>
      <c r="G36" s="132" t="s">
        <v>324</v>
      </c>
      <c r="N36" s="52" t="str">
        <f t="shared" si="21"/>
        <v/>
      </c>
      <c r="O36" s="52" t="str">
        <f t="shared" si="22"/>
        <v/>
      </c>
      <c r="P36" s="23"/>
      <c r="Q36" s="23" t="str">
        <f t="shared" si="26"/>
        <v/>
      </c>
      <c r="R36" s="23" t="str">
        <f t="shared" si="23"/>
        <v/>
      </c>
      <c r="S36" s="49"/>
      <c r="T36" s="49"/>
      <c r="BG36" s="23"/>
      <c r="BJ36">
        <v>23</v>
      </c>
      <c r="BK36">
        <v>257.95</v>
      </c>
    </row>
    <row r="37" spans="1:76" hidden="1" x14ac:dyDescent="0.3">
      <c r="A37" s="162"/>
      <c r="B37" s="19"/>
      <c r="C37" s="120">
        <f t="shared" si="25"/>
        <v>0</v>
      </c>
      <c r="D37" s="155"/>
      <c r="E37" s="120"/>
      <c r="F37" s="16"/>
      <c r="G37" s="132" t="s">
        <v>324</v>
      </c>
      <c r="N37" s="52" t="str">
        <f t="shared" si="21"/>
        <v/>
      </c>
      <c r="O37" s="52" t="str">
        <f t="shared" si="22"/>
        <v/>
      </c>
      <c r="P37" s="23"/>
      <c r="Q37" s="23">
        <f t="shared" si="26"/>
        <v>0</v>
      </c>
      <c r="R37" s="23">
        <f t="shared" si="23"/>
        <v>20</v>
      </c>
      <c r="S37" s="49"/>
      <c r="T37" s="49"/>
      <c r="BG37" s="23"/>
      <c r="BJ37">
        <v>24</v>
      </c>
      <c r="BK37">
        <v>257.95</v>
      </c>
    </row>
    <row r="38" spans="1:76" hidden="1" x14ac:dyDescent="0.3">
      <c r="A38" s="162"/>
      <c r="B38" s="19"/>
      <c r="C38" s="120">
        <f t="shared" si="25"/>
        <v>0</v>
      </c>
      <c r="D38" s="155"/>
      <c r="E38" s="120"/>
      <c r="F38" s="16"/>
      <c r="G38" s="132" t="s">
        <v>324</v>
      </c>
      <c r="N38" s="52" t="str">
        <f t="shared" si="21"/>
        <v/>
      </c>
      <c r="O38" s="52" t="str">
        <f t="shared" si="22"/>
        <v/>
      </c>
      <c r="P38" s="23"/>
      <c r="Q38" s="23" t="str">
        <f t="shared" si="26"/>
        <v/>
      </c>
      <c r="R38" s="23" t="str">
        <f t="shared" si="23"/>
        <v/>
      </c>
      <c r="S38" s="49"/>
      <c r="T38" s="49"/>
      <c r="AQ38">
        <v>4802</v>
      </c>
      <c r="AR38" t="s">
        <v>104</v>
      </c>
      <c r="AS38" t="s">
        <v>101</v>
      </c>
      <c r="BG38" s="23"/>
      <c r="BJ38">
        <v>25</v>
      </c>
      <c r="BK38">
        <v>257.95</v>
      </c>
    </row>
    <row r="39" spans="1:76" ht="14.15" hidden="1" customHeight="1" x14ac:dyDescent="0.3">
      <c r="A39" s="162" t="str">
        <f>IF(C14&gt;1,A14,"")</f>
        <v/>
      </c>
      <c r="B39" s="19"/>
      <c r="C39" s="120">
        <f t="shared" si="25"/>
        <v>0</v>
      </c>
      <c r="D39" s="155"/>
      <c r="E39" s="120"/>
      <c r="F39" s="16"/>
      <c r="G39" s="132" t="s">
        <v>324</v>
      </c>
      <c r="N39" s="52" t="str">
        <f t="shared" si="21"/>
        <v/>
      </c>
      <c r="O39" s="52" t="str">
        <f t="shared" si="22"/>
        <v/>
      </c>
      <c r="P39" s="23"/>
      <c r="Q39" s="23" t="str">
        <f>IF(C14&gt;1,((MROUND(IF($F$29&gt;0.01,$F$29/$G$8,E39*$M$16),0.05))),"")</f>
        <v/>
      </c>
      <c r="R39" s="23" t="str">
        <f t="shared" si="23"/>
        <v/>
      </c>
      <c r="S39" s="49"/>
      <c r="T39" s="49"/>
      <c r="AQ39">
        <v>4803</v>
      </c>
      <c r="AR39" t="s">
        <v>105</v>
      </c>
      <c r="AS39" t="s">
        <v>101</v>
      </c>
      <c r="BG39" s="23"/>
      <c r="BJ39">
        <v>26</v>
      </c>
      <c r="BK39">
        <v>395.45</v>
      </c>
      <c r="BX39" s="22" t="s">
        <v>324</v>
      </c>
    </row>
    <row r="40" spans="1:76" ht="14.15" hidden="1" customHeight="1" x14ac:dyDescent="0.3">
      <c r="A40" s="162" t="str">
        <f>IF(C15&gt;1,A15,"")</f>
        <v/>
      </c>
      <c r="B40" s="19"/>
      <c r="C40" s="120">
        <f t="shared" si="25"/>
        <v>0</v>
      </c>
      <c r="D40" s="155"/>
      <c r="E40" s="120"/>
      <c r="F40" s="17"/>
      <c r="G40" s="132" t="s">
        <v>324</v>
      </c>
      <c r="N40" s="52" t="str">
        <f t="shared" si="21"/>
        <v/>
      </c>
      <c r="O40" s="52"/>
      <c r="P40" s="23"/>
      <c r="Q40" s="23" t="str">
        <f>IF(C15&gt;1,((MROUND(IF($F$29&gt;0.01,$F$29/$G$8,E40*$M$16),0.05))),"")</f>
        <v/>
      </c>
      <c r="R40" s="23" t="str">
        <f t="shared" si="23"/>
        <v/>
      </c>
      <c r="S40" s="49"/>
      <c r="T40" s="49"/>
      <c r="BG40" s="23"/>
      <c r="BJ40">
        <v>27</v>
      </c>
      <c r="BK40">
        <v>395.45</v>
      </c>
      <c r="BX40" s="22" t="s">
        <v>324</v>
      </c>
    </row>
    <row r="41" spans="1:76" ht="14.5" thickBot="1" x14ac:dyDescent="0.35">
      <c r="A41" s="68" t="s">
        <v>411</v>
      </c>
      <c r="B41" s="20">
        <f>SUM(B29)</f>
        <v>0</v>
      </c>
      <c r="C41" s="136">
        <f>VALUE(SUM(C29:C40))</f>
        <v>0</v>
      </c>
      <c r="D41" s="250"/>
      <c r="E41" s="138">
        <f>SUM(E29:E40)*M16</f>
        <v>0</v>
      </c>
      <c r="F41" s="18">
        <f>IF(G8=0,0,R41)</f>
        <v>0</v>
      </c>
      <c r="G41" s="18">
        <f>SUM(T29:T34)</f>
        <v>0</v>
      </c>
      <c r="P41" s="49"/>
      <c r="Q41" s="49"/>
      <c r="R41" s="49">
        <f>SUM(R29:R36)</f>
        <v>20</v>
      </c>
      <c r="S41" s="49"/>
      <c r="T41" s="49">
        <f>-SUM(T29:T40)</f>
        <v>0</v>
      </c>
      <c r="AQ41">
        <v>4805</v>
      </c>
      <c r="AR41" t="s">
        <v>106</v>
      </c>
      <c r="AS41" t="s">
        <v>101</v>
      </c>
      <c r="BG41" s="23"/>
      <c r="BJ41">
        <v>28</v>
      </c>
      <c r="BK41">
        <v>395.45</v>
      </c>
    </row>
    <row r="42" spans="1:76" ht="14.5" thickBot="1" x14ac:dyDescent="0.35">
      <c r="C42" s="29"/>
      <c r="E42" s="163" t="str">
        <f>IF(E29&gt;7.5,"Achtung. Die Pauschale für die Gemeinde beträgt Fr. 7.50 pro Person","")</f>
        <v/>
      </c>
      <c r="F42"/>
      <c r="G42" s="29"/>
      <c r="O42" s="49"/>
      <c r="P42" s="49"/>
      <c r="Q42" s="49"/>
      <c r="R42" s="49"/>
      <c r="S42" s="49"/>
      <c r="T42" s="49"/>
      <c r="AQ42">
        <v>4812</v>
      </c>
      <c r="AR42" t="s">
        <v>103</v>
      </c>
      <c r="AS42" t="s">
        <v>101</v>
      </c>
      <c r="BG42" s="23"/>
      <c r="BJ42">
        <v>29</v>
      </c>
      <c r="BK42">
        <v>395.45</v>
      </c>
    </row>
    <row r="43" spans="1:76" ht="42.65" customHeight="1" x14ac:dyDescent="0.3">
      <c r="A43" s="160" t="s">
        <v>412</v>
      </c>
      <c r="B43" s="119" t="s">
        <v>329</v>
      </c>
      <c r="C43" s="6" t="s">
        <v>435</v>
      </c>
      <c r="D43" s="6" t="s">
        <v>386</v>
      </c>
      <c r="E43" s="6" t="s">
        <v>433</v>
      </c>
      <c r="F43" s="6" t="s">
        <v>332</v>
      </c>
      <c r="G43" s="3" t="s">
        <v>431</v>
      </c>
      <c r="N43" s="51" t="s">
        <v>10</v>
      </c>
      <c r="O43" s="51" t="s">
        <v>15</v>
      </c>
      <c r="P43" s="51" t="s">
        <v>16</v>
      </c>
      <c r="Q43" s="51" t="s">
        <v>17</v>
      </c>
      <c r="R43" s="49"/>
      <c r="S43" s="42" t="s">
        <v>18</v>
      </c>
      <c r="T43" s="42" t="s">
        <v>19</v>
      </c>
      <c r="U43" s="42" t="s">
        <v>20</v>
      </c>
      <c r="W43" s="42" t="s">
        <v>55</v>
      </c>
      <c r="X43" s="55" t="s">
        <v>54</v>
      </c>
      <c r="Y43" s="42" t="s">
        <v>56</v>
      </c>
      <c r="Z43" s="42" t="s">
        <v>56</v>
      </c>
      <c r="AA43" s="42" t="s">
        <v>56</v>
      </c>
      <c r="AB43" s="42" t="s">
        <v>56</v>
      </c>
      <c r="AQ43">
        <v>5032</v>
      </c>
      <c r="AR43" t="s">
        <v>111</v>
      </c>
      <c r="AS43" t="s">
        <v>112</v>
      </c>
      <c r="BG43" s="23"/>
      <c r="BJ43">
        <v>30</v>
      </c>
      <c r="BK43">
        <v>395.45</v>
      </c>
    </row>
    <row r="44" spans="1:76" x14ac:dyDescent="0.3">
      <c r="A44" s="211" t="str">
        <f t="shared" ref="A44:A51" si="28">CONCATENATE(A29)</f>
        <v/>
      </c>
      <c r="B44" s="260"/>
      <c r="C44" s="120">
        <v>0</v>
      </c>
      <c r="D44" s="7">
        <v>0</v>
      </c>
      <c r="E44" s="7">
        <v>0</v>
      </c>
      <c r="F44" s="7">
        <v>0</v>
      </c>
      <c r="G44" s="8">
        <f>IF(SUM(D44:F44)&gt;1,"Fehler (%)",IF(C44&gt;-1,((MROUND(IF(C44&gt;0,-N44-O44,0),-0.05))),""))</f>
        <v>0</v>
      </c>
      <c r="J44" s="56"/>
      <c r="K44" s="56"/>
      <c r="L44" t="str">
        <f>IF(AND(F44&gt;0.001,E44&gt;0.001),"Achtung! Mehrere Anstellungen pro Zeile. Bitte korrigieren, falls nötig.","")</f>
        <v/>
      </c>
      <c r="N44" s="23">
        <f t="shared" ref="N44:N51" si="29">IF((D44+E44+F44)&gt;0.01,(+D44*$S$44+E44*$T$44+F44*$U$44),0)</f>
        <v>0</v>
      </c>
      <c r="O44" s="49">
        <f t="shared" ref="O44:O51" si="30">MROUND((-IF(N44&gt;0,($Q$44/$N$52*N44),0)),-0.05)</f>
        <v>0</v>
      </c>
      <c r="P44" s="23">
        <f>IF(E4="Ausweis F/S",(IF(E52&gt;0.01,650,550)),((IF(E52&gt;0.01,500,400))))</f>
        <v>550</v>
      </c>
      <c r="Q44" s="23">
        <f>IF(N52&gt;P44,N52-P44,0)</f>
        <v>0</v>
      </c>
      <c r="R44" s="49"/>
      <c r="S44" s="49">
        <f>IF(E4="Ausweis F/S",400,300)</f>
        <v>400</v>
      </c>
      <c r="T44" s="49">
        <f>IF(E4="Ausweis F/S",200,150)</f>
        <v>200</v>
      </c>
      <c r="U44" s="49">
        <f>IF(E4="Ausweis F/S",200,150)</f>
        <v>200</v>
      </c>
      <c r="W44" s="23">
        <f>C44</f>
        <v>0</v>
      </c>
      <c r="X44" s="56">
        <f t="shared" ref="X44:X49" si="31">SUM(D44:F44)</f>
        <v>0</v>
      </c>
      <c r="Y44">
        <f t="shared" ref="Y44:Z49" si="32">IF(W44&gt;0.0001,1,0)</f>
        <v>0</v>
      </c>
      <c r="Z44">
        <f t="shared" si="32"/>
        <v>0</v>
      </c>
      <c r="AA44">
        <f>+Z44+Y44</f>
        <v>0</v>
      </c>
      <c r="AB44">
        <f>IF(AA44=1,100,0)</f>
        <v>0</v>
      </c>
      <c r="AQ44">
        <v>5033</v>
      </c>
      <c r="AR44" t="s">
        <v>277</v>
      </c>
      <c r="AS44" t="s">
        <v>112</v>
      </c>
      <c r="BG44" s="23"/>
      <c r="BJ44">
        <v>31</v>
      </c>
      <c r="BK44">
        <v>395.45</v>
      </c>
    </row>
    <row r="45" spans="1:76" x14ac:dyDescent="0.3">
      <c r="A45" s="211" t="str">
        <f t="shared" si="28"/>
        <v/>
      </c>
      <c r="B45" s="260"/>
      <c r="C45" s="120"/>
      <c r="D45" s="7"/>
      <c r="E45" s="7"/>
      <c r="F45" s="7"/>
      <c r="G45" s="8">
        <f>IF(SUM(D45:F45)&gt;1,"Fehler (%)",IF(C45&gt;-1,((MROUND(IF(C45&gt;0,-N45-O45,0),-0.05))),""))</f>
        <v>0</v>
      </c>
      <c r="K45" s="56"/>
      <c r="L45" t="str">
        <f>IF(AND(F45&gt;0.001,E45&gt;0.001),"Achtung! Mehrere Anstellungen pro Zeile. Bitte korrigieren, falls nötig.","")</f>
        <v/>
      </c>
      <c r="N45" s="23">
        <f t="shared" si="29"/>
        <v>0</v>
      </c>
      <c r="O45" s="49">
        <f t="shared" si="30"/>
        <v>0</v>
      </c>
      <c r="P45" s="49"/>
      <c r="Q45" s="49"/>
      <c r="R45" s="49"/>
      <c r="S45" s="62" t="s">
        <v>451</v>
      </c>
      <c r="T45" s="295"/>
      <c r="U45" s="22"/>
      <c r="W45" s="23">
        <f>C45</f>
        <v>0</v>
      </c>
      <c r="X45" s="56">
        <f t="shared" si="31"/>
        <v>0</v>
      </c>
      <c r="Y45">
        <f t="shared" si="32"/>
        <v>0</v>
      </c>
      <c r="Z45">
        <f t="shared" si="32"/>
        <v>0</v>
      </c>
      <c r="AA45">
        <f>+Z45+Y45</f>
        <v>0</v>
      </c>
      <c r="AB45">
        <f>IF(AA45=1,100,0)</f>
        <v>0</v>
      </c>
      <c r="BG45" s="23"/>
      <c r="BJ45">
        <v>32</v>
      </c>
      <c r="BK45">
        <v>395.45</v>
      </c>
    </row>
    <row r="46" spans="1:76" x14ac:dyDescent="0.3">
      <c r="A46" s="211" t="str">
        <f t="shared" si="28"/>
        <v/>
      </c>
      <c r="B46" s="260"/>
      <c r="C46" s="120"/>
      <c r="D46" s="7"/>
      <c r="E46" s="7"/>
      <c r="F46" s="7"/>
      <c r="G46" s="8">
        <f>IF(SUM(D46:F46)&gt;1,"Fehler (%)",IF(C46&gt;-1,((MROUND(IF(C46&gt;0,-N46-O46,0),-0.05))),""))</f>
        <v>0</v>
      </c>
      <c r="K46" s="56"/>
      <c r="L46" t="str">
        <f>IF(AND(D45&gt;0.001,E45&gt;0.001),"Achtung! Mehrere Anstellungen pro Zeile. Bitte korrigieren, falls nötig.","")</f>
        <v/>
      </c>
      <c r="N46" s="23">
        <f t="shared" si="29"/>
        <v>0</v>
      </c>
      <c r="O46" s="49">
        <f t="shared" si="30"/>
        <v>0</v>
      </c>
      <c r="P46" s="49"/>
      <c r="Q46" s="49"/>
      <c r="R46" s="49"/>
      <c r="S46" s="49"/>
      <c r="T46" s="49"/>
      <c r="W46" s="23">
        <f>C46</f>
        <v>0</v>
      </c>
      <c r="X46" s="56">
        <f t="shared" si="31"/>
        <v>0</v>
      </c>
      <c r="Y46">
        <f t="shared" si="32"/>
        <v>0</v>
      </c>
      <c r="Z46">
        <f t="shared" si="32"/>
        <v>0</v>
      </c>
      <c r="AA46">
        <f>+Z46+Y46</f>
        <v>0</v>
      </c>
      <c r="AB46">
        <f>IF(AA46=1,100,0)</f>
        <v>0</v>
      </c>
      <c r="AQ46">
        <v>5034</v>
      </c>
      <c r="AR46" t="s">
        <v>118</v>
      </c>
      <c r="AS46" t="s">
        <v>112</v>
      </c>
      <c r="BG46" s="23"/>
      <c r="BJ46">
        <v>33</v>
      </c>
      <c r="BK46">
        <v>395.45</v>
      </c>
    </row>
    <row r="47" spans="1:76" x14ac:dyDescent="0.3">
      <c r="A47" s="211" t="str">
        <f t="shared" si="28"/>
        <v/>
      </c>
      <c r="B47" s="260"/>
      <c r="C47" s="120"/>
      <c r="D47" s="7"/>
      <c r="E47" s="7"/>
      <c r="F47" s="7"/>
      <c r="G47" s="8">
        <f>IF(SUM(D47:F47)&gt;1,"Fehler (%)",IF(C47&gt;-1,((MROUND(IF(C47&gt;0,-N47-O47,0),-0.05))),""))</f>
        <v>0</v>
      </c>
      <c r="L47" t="str">
        <f>IF(AND(D44&gt;0.001,E44&gt;0.001),"Achtung! Mehrere Anstellungen pro Zeile. Bitte korrigieren, falls nötig.","")</f>
        <v/>
      </c>
      <c r="N47" s="23">
        <f t="shared" si="29"/>
        <v>0</v>
      </c>
      <c r="O47" s="49">
        <f t="shared" si="30"/>
        <v>0</v>
      </c>
      <c r="P47" s="49"/>
      <c r="Q47" s="49"/>
      <c r="R47" s="49"/>
      <c r="S47" s="49"/>
      <c r="T47" s="49"/>
      <c r="W47" s="23">
        <f>C47</f>
        <v>0</v>
      </c>
      <c r="X47" s="56">
        <f t="shared" si="31"/>
        <v>0</v>
      </c>
      <c r="Y47">
        <f t="shared" si="32"/>
        <v>0</v>
      </c>
      <c r="Z47">
        <f t="shared" si="32"/>
        <v>0</v>
      </c>
      <c r="AA47">
        <f>+Z47+Y47</f>
        <v>0</v>
      </c>
      <c r="AB47">
        <f>IF(AA47=1,100,0)</f>
        <v>0</v>
      </c>
      <c r="AC47">
        <f>SUM(AB44:AB47)</f>
        <v>0</v>
      </c>
      <c r="AD47" t="str">
        <f>IF(AC47&gt;99,"Pensum eintragen für Berechnung EFB","")</f>
        <v/>
      </c>
      <c r="AQ47">
        <v>5035</v>
      </c>
      <c r="AR47" t="s">
        <v>119</v>
      </c>
      <c r="AS47" t="s">
        <v>112</v>
      </c>
      <c r="BG47" s="23"/>
      <c r="BJ47">
        <v>34</v>
      </c>
      <c r="BK47">
        <v>395.45</v>
      </c>
    </row>
    <row r="48" spans="1:76" ht="14.15" hidden="1" customHeight="1" x14ac:dyDescent="0.3">
      <c r="A48" s="161" t="str">
        <f t="shared" si="28"/>
        <v/>
      </c>
      <c r="B48" s="130"/>
      <c r="C48" s="120"/>
      <c r="D48" s="7"/>
      <c r="E48" s="7"/>
      <c r="F48" s="7"/>
      <c r="G48" s="8">
        <f>IF(C48&gt;-1,((MROUND(IF(C48&gt;0,-N48-O48,0),-0.05))),"")</f>
        <v>0</v>
      </c>
      <c r="N48" s="23">
        <f t="shared" si="29"/>
        <v>0</v>
      </c>
      <c r="O48" s="49">
        <f t="shared" si="30"/>
        <v>0</v>
      </c>
      <c r="P48" s="49"/>
      <c r="Q48" s="49"/>
      <c r="R48" s="49"/>
      <c r="S48" s="49"/>
      <c r="T48" s="49"/>
      <c r="X48" s="56">
        <f t="shared" si="31"/>
        <v>0</v>
      </c>
      <c r="Z48">
        <f t="shared" si="32"/>
        <v>0</v>
      </c>
      <c r="AQ48">
        <v>5036</v>
      </c>
      <c r="AR48" t="s">
        <v>120</v>
      </c>
      <c r="AS48" t="s">
        <v>112</v>
      </c>
      <c r="BG48" s="23"/>
      <c r="BJ48">
        <v>35</v>
      </c>
      <c r="BK48">
        <v>395.45</v>
      </c>
    </row>
    <row r="49" spans="1:63" ht="14.15" hidden="1" customHeight="1" x14ac:dyDescent="0.3">
      <c r="A49" s="161" t="str">
        <f t="shared" si="28"/>
        <v/>
      </c>
      <c r="B49" s="130"/>
      <c r="C49" s="120"/>
      <c r="D49" s="7"/>
      <c r="E49" s="7"/>
      <c r="F49" s="7"/>
      <c r="G49" s="8">
        <f>IF(C49&gt;-1,((MROUND(IF(C49&gt;0,-N49-O49,0),-0.05))),"")</f>
        <v>0</v>
      </c>
      <c r="N49" s="23">
        <f t="shared" si="29"/>
        <v>0</v>
      </c>
      <c r="O49" s="49">
        <f t="shared" si="30"/>
        <v>0</v>
      </c>
      <c r="P49" s="49"/>
      <c r="Q49" s="49"/>
      <c r="R49" s="49"/>
      <c r="S49" s="49"/>
      <c r="T49" s="49"/>
      <c r="X49" s="56">
        <f t="shared" si="31"/>
        <v>0</v>
      </c>
      <c r="Z49">
        <f t="shared" si="32"/>
        <v>0</v>
      </c>
      <c r="AQ49">
        <v>5037</v>
      </c>
      <c r="AR49" t="s">
        <v>121</v>
      </c>
      <c r="AS49" t="s">
        <v>112</v>
      </c>
      <c r="BG49" s="23"/>
      <c r="BJ49">
        <v>36</v>
      </c>
      <c r="BK49">
        <v>395.45</v>
      </c>
    </row>
    <row r="50" spans="1:63" ht="14.15" hidden="1" customHeight="1" x14ac:dyDescent="0.3">
      <c r="A50" s="161" t="str">
        <f t="shared" si="28"/>
        <v/>
      </c>
      <c r="B50" s="130"/>
      <c r="C50" s="128"/>
      <c r="D50" s="7"/>
      <c r="E50" s="7"/>
      <c r="F50" s="7"/>
      <c r="G50" s="8">
        <f>IF(C50&gt;-1,((MROUND(IF(C50&gt;0,-N50-O50,0),-0.05))),"")</f>
        <v>0</v>
      </c>
      <c r="H50" s="22" t="s">
        <v>324</v>
      </c>
      <c r="J50" s="22"/>
      <c r="K50" s="22"/>
      <c r="L50" s="22"/>
      <c r="N50" s="23">
        <f t="shared" si="29"/>
        <v>0</v>
      </c>
      <c r="O50" s="49">
        <f t="shared" si="30"/>
        <v>0</v>
      </c>
      <c r="P50" s="49"/>
      <c r="Q50" s="49"/>
      <c r="R50" s="49"/>
      <c r="S50" s="49"/>
      <c r="T50" s="49"/>
      <c r="AQ50">
        <v>5040</v>
      </c>
      <c r="AR50" t="s">
        <v>122</v>
      </c>
      <c r="AS50" t="s">
        <v>123</v>
      </c>
      <c r="BG50" s="23"/>
      <c r="BJ50">
        <v>37</v>
      </c>
      <c r="BK50">
        <v>395.45</v>
      </c>
    </row>
    <row r="51" spans="1:63" ht="14.15" hidden="1" customHeight="1" x14ac:dyDescent="0.3">
      <c r="A51" s="161" t="str">
        <f t="shared" si="28"/>
        <v/>
      </c>
      <c r="B51" s="130"/>
      <c r="C51" s="128"/>
      <c r="D51" s="7"/>
      <c r="E51" s="7"/>
      <c r="F51" s="7"/>
      <c r="G51" s="8">
        <f>IF(C51&gt;-1,((MROUND(IF(C51&gt;0,-N51-O51,0),-0.05))),"")</f>
        <v>0</v>
      </c>
      <c r="H51" s="22" t="s">
        <v>324</v>
      </c>
      <c r="J51" s="22"/>
      <c r="K51" s="22"/>
      <c r="L51" s="22"/>
      <c r="N51" s="23">
        <f t="shared" si="29"/>
        <v>0</v>
      </c>
      <c r="O51" s="49">
        <f t="shared" si="30"/>
        <v>0</v>
      </c>
      <c r="P51" s="49"/>
      <c r="Q51" s="49"/>
      <c r="R51" s="49"/>
      <c r="S51" s="49"/>
      <c r="T51" s="49"/>
      <c r="AQ51">
        <v>5042</v>
      </c>
      <c r="AR51" t="s">
        <v>124</v>
      </c>
      <c r="AS51" t="s">
        <v>112</v>
      </c>
      <c r="BG51" s="23"/>
      <c r="BJ51">
        <v>38</v>
      </c>
      <c r="BK51">
        <v>395.45</v>
      </c>
    </row>
    <row r="52" spans="1:63" ht="14.5" thickBot="1" x14ac:dyDescent="0.35">
      <c r="A52" s="68"/>
      <c r="B52" s="129" t="s">
        <v>8</v>
      </c>
      <c r="C52" s="142">
        <f>SUM(C44:C51)</f>
        <v>0</v>
      </c>
      <c r="D52" s="34">
        <f>SUM(D44:D51)</f>
        <v>0</v>
      </c>
      <c r="E52" s="34">
        <f>SUM(E44:E51)</f>
        <v>0</v>
      </c>
      <c r="F52" s="34">
        <f>SUM(F44:F51)</f>
        <v>0</v>
      </c>
      <c r="G52" s="36">
        <f>(SUM(G44:G51))</f>
        <v>0</v>
      </c>
      <c r="M52" t="s">
        <v>21</v>
      </c>
      <c r="N52" s="49">
        <f>SUM(N44:N51)</f>
        <v>0</v>
      </c>
      <c r="O52" s="49"/>
      <c r="P52" s="49"/>
      <c r="Q52" s="49"/>
      <c r="R52" s="49"/>
      <c r="S52" s="49"/>
      <c r="T52" s="49"/>
      <c r="AQ52">
        <v>5043</v>
      </c>
      <c r="AR52" t="s">
        <v>125</v>
      </c>
      <c r="AS52" t="s">
        <v>123</v>
      </c>
      <c r="BG52" s="23"/>
      <c r="BJ52">
        <v>39</v>
      </c>
      <c r="BK52">
        <v>395.45</v>
      </c>
    </row>
    <row r="53" spans="1:63" ht="14.5" thickBot="1" x14ac:dyDescent="0.35">
      <c r="A53" s="151"/>
      <c r="B53" s="297"/>
      <c r="C53" s="298"/>
      <c r="D53" s="299" t="str">
        <f>CONCATENATE("   ",L44,L45,L46,L47)</f>
        <v xml:space="preserve">   </v>
      </c>
      <c r="E53" s="296"/>
      <c r="F53" s="109"/>
      <c r="G53" s="23"/>
      <c r="N53" s="49"/>
      <c r="O53" s="49"/>
      <c r="P53" s="49"/>
      <c r="Q53" s="49"/>
      <c r="R53" s="49"/>
      <c r="S53" s="49" t="s">
        <v>53</v>
      </c>
      <c r="T53" s="49"/>
      <c r="AQ53">
        <v>5044</v>
      </c>
      <c r="AR53" t="s">
        <v>126</v>
      </c>
      <c r="AS53" t="s">
        <v>123</v>
      </c>
      <c r="BG53" s="23"/>
      <c r="BJ53">
        <v>40</v>
      </c>
      <c r="BK53">
        <v>395.45</v>
      </c>
    </row>
    <row r="54" spans="1:63" ht="37" customHeight="1" x14ac:dyDescent="0.3">
      <c r="A54" s="306" t="s">
        <v>457</v>
      </c>
      <c r="B54" s="4" t="s">
        <v>409</v>
      </c>
      <c r="C54" s="321" t="s">
        <v>458</v>
      </c>
      <c r="D54" s="322"/>
      <c r="E54" s="322"/>
      <c r="F54" s="322"/>
      <c r="G54" s="323"/>
      <c r="N54" s="50" t="s">
        <v>32</v>
      </c>
      <c r="O54" s="50" t="s">
        <v>31</v>
      </c>
      <c r="Q54" s="50"/>
      <c r="R54" s="50"/>
      <c r="S54" s="49"/>
      <c r="T54" s="49"/>
      <c r="AQ54">
        <v>4813</v>
      </c>
      <c r="AR54" t="s">
        <v>107</v>
      </c>
      <c r="AS54" t="s">
        <v>101</v>
      </c>
      <c r="BG54" s="23"/>
      <c r="BJ54">
        <v>47</v>
      </c>
      <c r="BK54">
        <v>395.45</v>
      </c>
    </row>
    <row r="55" spans="1:63" x14ac:dyDescent="0.3">
      <c r="A55" s="161" t="str">
        <f t="shared" ref="A55:A60" si="33">CONCATENATE(A44)</f>
        <v/>
      </c>
      <c r="B55" s="124">
        <v>0</v>
      </c>
      <c r="C55" s="120">
        <v>0</v>
      </c>
      <c r="D55" s="317"/>
      <c r="E55" s="317"/>
      <c r="F55" s="317"/>
      <c r="G55" s="318"/>
      <c r="N55" s="52" t="str">
        <f t="shared" ref="N55:N60" si="34">IF(C55&lt;&gt;0,(CONCATENATE(A55,", ",D55,", Fr. ",(TEXT(C55,"0.00")))),"")</f>
        <v/>
      </c>
      <c r="O55" s="52" t="str">
        <f t="shared" ref="O55:O61" si="35">IF(C56&lt;&gt;0," / ","")</f>
        <v/>
      </c>
      <c r="Q55" s="52"/>
      <c r="R55" s="52"/>
      <c r="S55" s="49"/>
      <c r="T55" s="49"/>
      <c r="AQ55">
        <v>4814</v>
      </c>
      <c r="AR55" t="s">
        <v>108</v>
      </c>
      <c r="AS55" t="s">
        <v>101</v>
      </c>
      <c r="BG55" s="23"/>
      <c r="BJ55">
        <v>48</v>
      </c>
      <c r="BK55">
        <v>395.45</v>
      </c>
    </row>
    <row r="56" spans="1:63" x14ac:dyDescent="0.3">
      <c r="A56" s="161" t="str">
        <f t="shared" si="33"/>
        <v/>
      </c>
      <c r="B56" s="124"/>
      <c r="C56" s="120"/>
      <c r="D56" s="317"/>
      <c r="E56" s="317"/>
      <c r="F56" s="317"/>
      <c r="G56" s="318"/>
      <c r="N56" s="52" t="str">
        <f t="shared" si="34"/>
        <v/>
      </c>
      <c r="O56" s="52" t="str">
        <f t="shared" si="35"/>
        <v/>
      </c>
      <c r="Q56" s="52" t="str">
        <f>IF(E55&gt;0,(CONCATENATE(#REF!,", ",G56,", Fr. ",(TEXT(E55,"0.00")))),"")</f>
        <v/>
      </c>
      <c r="R56" s="52" t="str">
        <f t="shared" ref="R56:R61" si="36">IF(E57&gt;0," / ","")</f>
        <v/>
      </c>
      <c r="S56" s="49"/>
      <c r="T56" s="49"/>
      <c r="AQ56">
        <v>4852</v>
      </c>
      <c r="AR56" t="s">
        <v>109</v>
      </c>
      <c r="AS56" t="s">
        <v>101</v>
      </c>
      <c r="BG56" s="23"/>
      <c r="BJ56">
        <v>49</v>
      </c>
      <c r="BK56">
        <v>395.45</v>
      </c>
    </row>
    <row r="57" spans="1:63" x14ac:dyDescent="0.3">
      <c r="A57" s="161" t="str">
        <f t="shared" si="33"/>
        <v/>
      </c>
      <c r="B57" s="124"/>
      <c r="C57" s="120"/>
      <c r="D57" s="317"/>
      <c r="E57" s="317"/>
      <c r="F57" s="317"/>
      <c r="G57" s="318"/>
      <c r="N57" s="52" t="str">
        <f t="shared" si="34"/>
        <v/>
      </c>
      <c r="O57" s="52" t="str">
        <f t="shared" si="35"/>
        <v/>
      </c>
      <c r="Q57" s="52" t="str">
        <f>IF(E57&gt;0,(CONCATENATE(#REF!,", ",G57,", Fr. ",(TEXT(E57,"0.00")))),"")</f>
        <v/>
      </c>
      <c r="R57" s="52" t="str">
        <f t="shared" si="36"/>
        <v/>
      </c>
      <c r="S57" s="49"/>
      <c r="T57" s="49"/>
      <c r="AQ57">
        <v>4853</v>
      </c>
      <c r="AR57" t="s">
        <v>110</v>
      </c>
      <c r="AS57" t="s">
        <v>101</v>
      </c>
      <c r="BG57" s="23"/>
      <c r="BJ57">
        <v>50</v>
      </c>
      <c r="BK57">
        <v>395.45</v>
      </c>
    </row>
    <row r="58" spans="1:63" x14ac:dyDescent="0.3">
      <c r="A58" s="161" t="str">
        <f t="shared" si="33"/>
        <v/>
      </c>
      <c r="B58" s="124"/>
      <c r="C58" s="120"/>
      <c r="D58" s="317"/>
      <c r="E58" s="317"/>
      <c r="F58" s="317"/>
      <c r="G58" s="318"/>
      <c r="N58" s="52" t="str">
        <f t="shared" si="34"/>
        <v/>
      </c>
      <c r="O58" s="52" t="str">
        <f t="shared" si="35"/>
        <v/>
      </c>
      <c r="Q58" s="52" t="str">
        <f>IF(E58&gt;0,(CONCATENATE(#REF!,", ",G58,", Fr. ",(TEXT(E58,"0.00")))),"")</f>
        <v/>
      </c>
      <c r="R58" s="52" t="str">
        <f t="shared" si="36"/>
        <v/>
      </c>
      <c r="S58" s="49"/>
      <c r="T58" s="49"/>
      <c r="AQ58">
        <v>4856</v>
      </c>
      <c r="AR58" t="s">
        <v>110</v>
      </c>
      <c r="AS58" t="s">
        <v>101</v>
      </c>
      <c r="BG58" s="23"/>
      <c r="BJ58">
        <v>51</v>
      </c>
      <c r="BK58">
        <v>395.45</v>
      </c>
    </row>
    <row r="59" spans="1:63" x14ac:dyDescent="0.3">
      <c r="A59" s="161" t="str">
        <f t="shared" si="33"/>
        <v/>
      </c>
      <c r="B59" s="124"/>
      <c r="C59" s="120"/>
      <c r="D59" s="317"/>
      <c r="E59" s="317"/>
      <c r="F59" s="317"/>
      <c r="G59" s="318"/>
      <c r="N59" s="52" t="str">
        <f t="shared" si="34"/>
        <v/>
      </c>
      <c r="O59" s="52" t="str">
        <f t="shared" si="35"/>
        <v/>
      </c>
      <c r="Q59" s="52" t="str">
        <f>IF(E59&gt;0,(CONCATENATE(#REF!,", ",G59,", Fr. ",(TEXT(E59,"0.00")))),"")</f>
        <v/>
      </c>
      <c r="R59" s="52" t="str">
        <f t="shared" si="36"/>
        <v/>
      </c>
      <c r="S59" s="49"/>
      <c r="T59" s="49"/>
      <c r="AQ59">
        <v>5000</v>
      </c>
      <c r="AR59" t="s">
        <v>111</v>
      </c>
      <c r="AS59" t="s">
        <v>112</v>
      </c>
      <c r="BG59" s="23"/>
      <c r="BJ59">
        <v>52</v>
      </c>
      <c r="BK59">
        <v>395.45</v>
      </c>
    </row>
    <row r="60" spans="1:63" x14ac:dyDescent="0.3">
      <c r="A60" s="161" t="str">
        <f t="shared" si="33"/>
        <v/>
      </c>
      <c r="B60" s="124"/>
      <c r="C60" s="120"/>
      <c r="D60" s="317"/>
      <c r="E60" s="317"/>
      <c r="F60" s="317"/>
      <c r="G60" s="318"/>
      <c r="N60" s="52" t="str">
        <f t="shared" si="34"/>
        <v/>
      </c>
      <c r="O60" s="52" t="str">
        <f t="shared" si="35"/>
        <v/>
      </c>
      <c r="Q60" s="52" t="str">
        <f>IF(E60&gt;0,(CONCATENATE(#REF!,", ",G60,", Fr. ",(TEXT(E60,"0.00")))),"")</f>
        <v/>
      </c>
      <c r="R60" s="52" t="str">
        <f t="shared" si="36"/>
        <v/>
      </c>
      <c r="S60" s="49"/>
      <c r="T60" s="49"/>
      <c r="AQ60">
        <v>5004</v>
      </c>
      <c r="AR60" t="s">
        <v>111</v>
      </c>
      <c r="AS60" t="s">
        <v>112</v>
      </c>
      <c r="BG60" s="23"/>
      <c r="BJ60">
        <v>53</v>
      </c>
      <c r="BK60">
        <v>395.45</v>
      </c>
    </row>
    <row r="61" spans="1:63" ht="14.15" hidden="1" customHeight="1" x14ac:dyDescent="0.3">
      <c r="A61" s="161" t="str">
        <f>CONCATENATE(" ",A35)</f>
        <v xml:space="preserve"> </v>
      </c>
      <c r="B61" s="124"/>
      <c r="C61" s="121"/>
      <c r="D61" s="324"/>
      <c r="E61" s="324"/>
      <c r="F61" s="324"/>
      <c r="G61" s="325"/>
      <c r="M61" s="22" t="s">
        <v>324</v>
      </c>
      <c r="N61" s="52" t="str">
        <f>IF(C61&lt;&gt;0,(CONCATENATE(#REF!,", ",D61,", Fr. ",(TEXT(C61,"0.00")))),"")</f>
        <v/>
      </c>
      <c r="O61" s="52" t="str">
        <f t="shared" si="35"/>
        <v/>
      </c>
      <c r="Q61" s="52" t="str">
        <f>IF(E61&gt;0,(CONCATENATE(#REF!,", ",G61,", Fr. ",(TEXT(E61,"0.00")))),"")</f>
        <v/>
      </c>
      <c r="R61" s="52" t="str">
        <f t="shared" si="36"/>
        <v/>
      </c>
      <c r="S61" s="49"/>
      <c r="T61" s="49"/>
      <c r="AQ61">
        <v>5017</v>
      </c>
      <c r="AR61" t="s">
        <v>276</v>
      </c>
      <c r="AS61" t="s">
        <v>112</v>
      </c>
      <c r="BG61" s="23"/>
      <c r="BJ61">
        <v>54</v>
      </c>
      <c r="BK61">
        <v>395.45</v>
      </c>
    </row>
    <row r="62" spans="1:63" ht="14.15" hidden="1" customHeight="1" x14ac:dyDescent="0.3">
      <c r="A62" s="161" t="str">
        <f>CONCATENATE(" ",A36)</f>
        <v xml:space="preserve"> </v>
      </c>
      <c r="B62" s="124"/>
      <c r="C62" s="121"/>
      <c r="D62" s="317"/>
      <c r="E62" s="317"/>
      <c r="F62" s="317"/>
      <c r="G62" s="318"/>
      <c r="M62" s="22" t="s">
        <v>324</v>
      </c>
      <c r="N62" s="52" t="str">
        <f>IF(C62&lt;&gt;0,(CONCATENATE(#REF!,", ",D62,", Fr. ",(TEXT(C62,"0.00")))),"")</f>
        <v/>
      </c>
      <c r="O62" s="52"/>
      <c r="Q62" s="52" t="str">
        <f>IF(E62&gt;0,(CONCATENATE(#REF!,", ",G62,", Fr. ",(TEXT(E62,"0.00")))),"")</f>
        <v/>
      </c>
      <c r="R62" s="52"/>
      <c r="S62" s="49"/>
      <c r="T62" s="49"/>
      <c r="BG62" s="23"/>
      <c r="BJ62">
        <v>55</v>
      </c>
      <c r="BK62">
        <v>395.45</v>
      </c>
    </row>
    <row r="63" spans="1:63" ht="14.5" thickBot="1" x14ac:dyDescent="0.35">
      <c r="A63" s="68" t="s">
        <v>411</v>
      </c>
      <c r="B63" s="125">
        <f>SUM(N125:Q125)</f>
        <v>0</v>
      </c>
      <c r="C63" s="122">
        <f>SUM(C55:C62)</f>
        <v>0</v>
      </c>
      <c r="D63" s="24"/>
      <c r="E63" s="123"/>
      <c r="F63" s="25"/>
      <c r="G63" s="26"/>
      <c r="N63" s="52"/>
      <c r="O63" s="52"/>
      <c r="R63" s="49"/>
      <c r="S63" s="49"/>
      <c r="T63" s="49"/>
      <c r="AQ63">
        <v>5018</v>
      </c>
      <c r="AR63" t="s">
        <v>276</v>
      </c>
      <c r="AS63" t="s">
        <v>112</v>
      </c>
      <c r="BG63" s="23"/>
      <c r="BJ63">
        <v>56</v>
      </c>
      <c r="BK63">
        <v>395.45</v>
      </c>
    </row>
    <row r="64" spans="1:63" ht="14.5" thickBot="1" x14ac:dyDescent="0.35">
      <c r="C64" s="108" t="str">
        <f>IF(B55&gt;5,"Achtung. Max. Fr. 5.00 vorgesehen für auswärtige Verpflegung pro Tag","")</f>
        <v/>
      </c>
      <c r="F64"/>
      <c r="G64" s="29"/>
      <c r="N64" s="49"/>
      <c r="O64" s="49"/>
      <c r="P64" s="49"/>
      <c r="Q64" s="49"/>
      <c r="R64" s="49"/>
      <c r="S64" s="49"/>
      <c r="T64" s="49"/>
      <c r="AQ64">
        <v>5022</v>
      </c>
      <c r="AR64" t="s">
        <v>113</v>
      </c>
      <c r="AS64" t="s">
        <v>112</v>
      </c>
      <c r="BG64" s="23"/>
      <c r="BJ64">
        <v>57</v>
      </c>
      <c r="BK64">
        <v>395.45</v>
      </c>
    </row>
    <row r="65" spans="1:75" x14ac:dyDescent="0.3">
      <c r="A65" s="68" t="s">
        <v>414</v>
      </c>
      <c r="B65" s="37" t="s">
        <v>45</v>
      </c>
      <c r="C65" s="38"/>
      <c r="D65" s="327"/>
      <c r="E65" s="327"/>
      <c r="F65" s="327"/>
      <c r="G65" s="9">
        <v>0</v>
      </c>
      <c r="M65" t="s">
        <v>363</v>
      </c>
      <c r="N65" s="49"/>
      <c r="O65" s="49"/>
      <c r="P65" s="49"/>
      <c r="Q65" s="49"/>
      <c r="R65" s="49"/>
      <c r="S65" s="49"/>
      <c r="T65" s="49"/>
      <c r="AQ65">
        <v>5046</v>
      </c>
      <c r="AR65" t="s">
        <v>127</v>
      </c>
      <c r="AS65" t="s">
        <v>123</v>
      </c>
      <c r="BG65" s="23"/>
      <c r="BJ65">
        <v>41</v>
      </c>
      <c r="BK65">
        <v>395.45</v>
      </c>
    </row>
    <row r="66" spans="1:75" x14ac:dyDescent="0.3">
      <c r="A66" s="68"/>
      <c r="B66" s="39" t="s">
        <v>406</v>
      </c>
      <c r="C66" s="23"/>
      <c r="D66" s="328"/>
      <c r="E66" s="328"/>
      <c r="F66" s="328"/>
      <c r="G66" s="10">
        <v>0</v>
      </c>
      <c r="M66" t="s">
        <v>339</v>
      </c>
      <c r="N66" s="49"/>
      <c r="O66" s="49"/>
      <c r="P66" s="49"/>
      <c r="Q66" s="49"/>
      <c r="R66" s="49"/>
      <c r="S66" s="49"/>
      <c r="T66" s="49"/>
      <c r="AQ66">
        <v>5053</v>
      </c>
      <c r="AR66" t="s">
        <v>128</v>
      </c>
      <c r="AS66" t="s">
        <v>101</v>
      </c>
      <c r="BG66" s="23"/>
      <c r="BJ66">
        <v>42</v>
      </c>
      <c r="BK66">
        <v>395.45</v>
      </c>
    </row>
    <row r="67" spans="1:75" x14ac:dyDescent="0.3">
      <c r="A67" s="68"/>
      <c r="B67" s="39" t="s">
        <v>436</v>
      </c>
      <c r="C67" s="23"/>
      <c r="D67" s="328"/>
      <c r="E67" s="328"/>
      <c r="F67" s="328"/>
      <c r="G67" s="10">
        <v>0</v>
      </c>
      <c r="M67" t="s">
        <v>333</v>
      </c>
      <c r="N67" s="49"/>
      <c r="O67" s="49"/>
      <c r="P67" s="49"/>
      <c r="Q67" s="49"/>
      <c r="R67" s="49"/>
      <c r="S67" s="49"/>
      <c r="T67" s="49"/>
      <c r="AQ67">
        <v>5054</v>
      </c>
      <c r="AR67" t="s">
        <v>129</v>
      </c>
      <c r="AS67" t="s">
        <v>101</v>
      </c>
      <c r="BG67" s="23"/>
      <c r="BJ67">
        <v>43</v>
      </c>
      <c r="BK67">
        <v>395.45</v>
      </c>
    </row>
    <row r="68" spans="1:75" x14ac:dyDescent="0.3">
      <c r="A68" s="68"/>
      <c r="B68" s="39" t="s">
        <v>59</v>
      </c>
      <c r="C68" s="23"/>
      <c r="D68" s="328"/>
      <c r="E68" s="328"/>
      <c r="F68" s="328"/>
      <c r="G68" s="10">
        <v>0</v>
      </c>
      <c r="M68" t="s">
        <v>338</v>
      </c>
      <c r="N68" s="23">
        <f>SUM(G65:G69)</f>
        <v>0</v>
      </c>
      <c r="O68" s="23" t="s">
        <v>50</v>
      </c>
      <c r="P68" s="49"/>
      <c r="Q68" s="49"/>
      <c r="R68" s="49"/>
      <c r="S68" s="49"/>
      <c r="T68" s="49"/>
      <c r="AQ68">
        <v>5056</v>
      </c>
      <c r="AR68" t="s">
        <v>130</v>
      </c>
      <c r="AS68" t="s">
        <v>101</v>
      </c>
      <c r="BG68" s="23"/>
      <c r="BJ68">
        <v>44</v>
      </c>
      <c r="BK68">
        <v>395.45</v>
      </c>
    </row>
    <row r="69" spans="1:75" ht="14.5" thickBot="1" x14ac:dyDescent="0.35">
      <c r="A69" s="68"/>
      <c r="B69" s="40" t="s">
        <v>370</v>
      </c>
      <c r="C69" s="41"/>
      <c r="D69" s="126"/>
      <c r="E69" s="139"/>
      <c r="F69" s="133"/>
      <c r="G69" s="11">
        <v>0</v>
      </c>
      <c r="M69" t="s">
        <v>349</v>
      </c>
      <c r="N69" s="23" t="s">
        <v>51</v>
      </c>
      <c r="O69" s="49"/>
      <c r="P69" s="49"/>
      <c r="Q69" s="49"/>
      <c r="R69" s="49"/>
      <c r="S69" s="49"/>
      <c r="T69" s="49"/>
      <c r="AQ69">
        <v>5057</v>
      </c>
      <c r="AR69" t="s">
        <v>130</v>
      </c>
      <c r="AS69" t="s">
        <v>101</v>
      </c>
      <c r="BG69" s="23"/>
      <c r="BJ69">
        <v>45</v>
      </c>
      <c r="BK69">
        <v>395.45</v>
      </c>
    </row>
    <row r="70" spans="1:75" ht="14.5" thickBot="1" x14ac:dyDescent="0.35">
      <c r="A70" s="68"/>
      <c r="B70" s="23"/>
      <c r="C70" s="23"/>
      <c r="D70" s="23"/>
      <c r="E70" s="23"/>
      <c r="F70" s="23"/>
      <c r="G70" s="23"/>
      <c r="N70" s="49"/>
      <c r="O70" s="49"/>
      <c r="P70" s="49"/>
      <c r="Q70" s="49"/>
      <c r="R70" s="49"/>
      <c r="S70" s="49"/>
      <c r="T70" s="49"/>
      <c r="BG70" s="23"/>
      <c r="BJ70">
        <v>46</v>
      </c>
      <c r="BK70">
        <v>395.45</v>
      </c>
    </row>
    <row r="71" spans="1:75" x14ac:dyDescent="0.3">
      <c r="A71" s="68" t="s">
        <v>415</v>
      </c>
      <c r="B71" s="14" t="s">
        <v>330</v>
      </c>
      <c r="C71" s="30" t="s">
        <v>331</v>
      </c>
      <c r="D71" s="31"/>
      <c r="E71" s="31"/>
      <c r="F71" s="31"/>
      <c r="G71" s="255" t="s">
        <v>428</v>
      </c>
      <c r="N71" s="50" t="s">
        <v>41</v>
      </c>
      <c r="O71" s="49"/>
      <c r="P71" s="49"/>
      <c r="Q71" s="49"/>
      <c r="R71" s="53" t="s">
        <v>40</v>
      </c>
      <c r="S71" s="54"/>
      <c r="T71" s="54"/>
      <c r="U71" s="53"/>
      <c r="AQ71">
        <v>5023</v>
      </c>
      <c r="AR71" t="s">
        <v>114</v>
      </c>
      <c r="AS71" t="s">
        <v>112</v>
      </c>
      <c r="BG71" s="23"/>
      <c r="BJ71">
        <v>58</v>
      </c>
      <c r="BK71">
        <v>395.45</v>
      </c>
    </row>
    <row r="72" spans="1:75" x14ac:dyDescent="0.3">
      <c r="A72" s="162" t="s">
        <v>416</v>
      </c>
      <c r="B72" s="114" t="str">
        <f>IF(C72&lt;&gt;"","Name eingeben","")</f>
        <v/>
      </c>
      <c r="C72" s="329"/>
      <c r="D72" s="328"/>
      <c r="E72" s="328"/>
      <c r="F72" s="328"/>
      <c r="G72" s="10">
        <v>0</v>
      </c>
      <c r="N72" s="52" t="str">
        <f>IF(G72&lt;&gt;0,(CONCATENATE(" ",B72,", ",C72,", Fr. ",(TEXT(G72,"0.00")))),"")</f>
        <v/>
      </c>
      <c r="O72" s="52" t="str">
        <f>IF(G73&lt;&gt;0," / ","")</f>
        <v/>
      </c>
      <c r="P72" s="49"/>
      <c r="Q72" s="49"/>
      <c r="R72" s="53" t="s">
        <v>42</v>
      </c>
      <c r="S72" s="54"/>
      <c r="T72" s="54"/>
      <c r="U72" s="53"/>
      <c r="AQ72">
        <v>5024</v>
      </c>
      <c r="AR72" t="s">
        <v>113</v>
      </c>
      <c r="AS72" t="s">
        <v>112</v>
      </c>
      <c r="BG72" s="23"/>
      <c r="BJ72">
        <v>59</v>
      </c>
      <c r="BK72">
        <v>395.45</v>
      </c>
      <c r="BW72" t="s">
        <v>365</v>
      </c>
    </row>
    <row r="73" spans="1:75" x14ac:dyDescent="0.3">
      <c r="A73" s="162"/>
      <c r="B73" s="114" t="str">
        <f>IF(C73&lt;&gt;"","Name eingeben","")</f>
        <v/>
      </c>
      <c r="C73" s="329"/>
      <c r="D73" s="328"/>
      <c r="E73" s="328"/>
      <c r="F73" s="328"/>
      <c r="G73" s="10"/>
      <c r="N73" s="52" t="str">
        <f>IF(G73&lt;&gt;0,(CONCATENATE(" ",B73,", ",C73,", Fr. ",(TEXT(G73,"0.00")))),"")</f>
        <v/>
      </c>
      <c r="O73" s="52" t="str">
        <f>IF(G74&lt;&gt;0," / ","")</f>
        <v/>
      </c>
      <c r="P73" s="49"/>
      <c r="Q73" s="49"/>
      <c r="R73" s="53" t="s">
        <v>44</v>
      </c>
      <c r="S73" s="54"/>
      <c r="T73" s="54"/>
      <c r="U73" s="53"/>
      <c r="AQ73">
        <v>5025</v>
      </c>
      <c r="AR73" t="s">
        <v>115</v>
      </c>
      <c r="AS73" t="s">
        <v>112</v>
      </c>
      <c r="BG73" s="23"/>
      <c r="BJ73">
        <v>60</v>
      </c>
      <c r="BK73">
        <v>395.45</v>
      </c>
    </row>
    <row r="74" spans="1:75" x14ac:dyDescent="0.3">
      <c r="A74" s="68"/>
      <c r="B74" s="114" t="str">
        <f>IF(C74&lt;&gt;"","Name eingeben","")</f>
        <v/>
      </c>
      <c r="C74" s="329"/>
      <c r="D74" s="328"/>
      <c r="E74" s="328"/>
      <c r="F74" s="328"/>
      <c r="G74" s="10"/>
      <c r="N74" s="52" t="str">
        <f>IF(G74&lt;&gt;0,(CONCATENATE(" ",B74,", ",C74,", Fr. ",(TEXT(G74,"0.00")))),"")</f>
        <v/>
      </c>
      <c r="O74" s="52"/>
      <c r="P74" s="49"/>
      <c r="Q74" s="49"/>
      <c r="R74" s="53" t="s">
        <v>43</v>
      </c>
      <c r="S74" s="53"/>
      <c r="T74" s="53"/>
      <c r="U74" s="53"/>
      <c r="AQ74">
        <v>5026</v>
      </c>
      <c r="AR74" t="s">
        <v>115</v>
      </c>
      <c r="AS74" t="s">
        <v>112</v>
      </c>
      <c r="BG74" s="23"/>
      <c r="BJ74">
        <v>61</v>
      </c>
      <c r="BK74">
        <v>395.45</v>
      </c>
    </row>
    <row r="75" spans="1:75" ht="14.5" thickBot="1" x14ac:dyDescent="0.35">
      <c r="A75" s="316" t="str">
        <f>IF(AK20&gt;0.5,"Korrektur: Erhöhung Pauschalen im laufenden Monat","")</f>
        <v/>
      </c>
      <c r="B75" s="118"/>
      <c r="C75" s="33"/>
      <c r="D75" s="34"/>
      <c r="E75" s="34"/>
      <c r="F75" s="34"/>
      <c r="G75" s="35">
        <f>SUM(G72:G74)</f>
        <v>0</v>
      </c>
      <c r="N75" s="52"/>
      <c r="O75" s="49"/>
      <c r="P75" s="49"/>
      <c r="Q75" s="49"/>
      <c r="R75" s="53" t="s">
        <v>334</v>
      </c>
      <c r="S75" s="49"/>
      <c r="T75" s="49"/>
      <c r="AQ75">
        <v>5027</v>
      </c>
      <c r="AR75" t="s">
        <v>116</v>
      </c>
      <c r="AS75" t="s">
        <v>98</v>
      </c>
      <c r="BG75" s="23"/>
      <c r="BJ75">
        <v>62</v>
      </c>
      <c r="BK75">
        <v>395.45</v>
      </c>
    </row>
    <row r="76" spans="1:75" x14ac:dyDescent="0.3">
      <c r="F76" s="29"/>
      <c r="N76" s="49"/>
      <c r="O76" s="49"/>
      <c r="P76" s="49"/>
      <c r="Q76" s="49"/>
      <c r="R76" s="49"/>
      <c r="T76" s="49"/>
      <c r="AQ76">
        <v>5028</v>
      </c>
      <c r="AR76" t="s">
        <v>117</v>
      </c>
      <c r="AS76" t="s">
        <v>98</v>
      </c>
      <c r="BG76" s="23"/>
      <c r="BJ76">
        <v>63</v>
      </c>
      <c r="BK76">
        <v>395.45</v>
      </c>
    </row>
    <row r="77" spans="1:75" ht="14.5" thickBot="1" x14ac:dyDescent="0.35">
      <c r="A77" s="68"/>
      <c r="C77" s="79"/>
      <c r="D77" s="109"/>
      <c r="E77" s="109"/>
      <c r="F77" s="109"/>
      <c r="G77" s="23"/>
      <c r="N77" s="49"/>
      <c r="O77" s="49"/>
      <c r="P77" s="49"/>
      <c r="Q77" s="49"/>
      <c r="R77" s="49"/>
      <c r="S77" s="49"/>
      <c r="T77" s="49"/>
      <c r="AQ77">
        <v>5062</v>
      </c>
      <c r="AR77" t="s">
        <v>131</v>
      </c>
      <c r="AS77" t="s">
        <v>98</v>
      </c>
      <c r="BG77" s="23"/>
      <c r="BJ77">
        <v>64</v>
      </c>
      <c r="BK77">
        <v>395.45</v>
      </c>
    </row>
    <row r="78" spans="1:75" x14ac:dyDescent="0.3">
      <c r="A78" s="68" t="s">
        <v>417</v>
      </c>
      <c r="B78" s="330"/>
      <c r="C78" s="331"/>
      <c r="D78" s="331"/>
      <c r="E78" s="331"/>
      <c r="F78" s="331"/>
      <c r="G78" s="332"/>
      <c r="N78" s="49" t="s">
        <v>342</v>
      </c>
      <c r="O78" s="49"/>
      <c r="P78" s="49"/>
      <c r="Q78" s="49"/>
      <c r="R78" s="49"/>
      <c r="S78" s="49"/>
      <c r="T78" s="49"/>
      <c r="AQ78">
        <v>5063</v>
      </c>
      <c r="AR78" t="s">
        <v>132</v>
      </c>
      <c r="AS78" t="s">
        <v>98</v>
      </c>
      <c r="BG78" s="23"/>
      <c r="BJ78">
        <v>65</v>
      </c>
      <c r="BK78">
        <v>395.45</v>
      </c>
    </row>
    <row r="79" spans="1:75" x14ac:dyDescent="0.3">
      <c r="A79" s="68"/>
      <c r="B79" s="333"/>
      <c r="C79" s="334"/>
      <c r="D79" s="334"/>
      <c r="E79" s="334"/>
      <c r="F79" s="334"/>
      <c r="G79" s="335"/>
      <c r="N79" s="49"/>
      <c r="O79" s="49"/>
      <c r="P79" s="49"/>
      <c r="Q79" s="49"/>
      <c r="R79" s="49"/>
      <c r="S79" s="49"/>
      <c r="T79" s="49"/>
      <c r="AQ79">
        <v>5064</v>
      </c>
      <c r="AR79" t="s">
        <v>133</v>
      </c>
      <c r="AS79" t="s">
        <v>98</v>
      </c>
      <c r="BG79" s="23"/>
      <c r="BJ79">
        <v>66</v>
      </c>
      <c r="BK79">
        <v>395.45</v>
      </c>
    </row>
    <row r="80" spans="1:75" ht="14.5" thickBot="1" x14ac:dyDescent="0.35">
      <c r="A80" s="68"/>
      <c r="B80" s="336"/>
      <c r="C80" s="337"/>
      <c r="D80" s="337"/>
      <c r="E80" s="337"/>
      <c r="F80" s="337"/>
      <c r="G80" s="338"/>
      <c r="N80" s="49"/>
      <c r="O80" s="49"/>
      <c r="P80" s="49"/>
      <c r="Q80" s="49"/>
      <c r="R80" s="49"/>
      <c r="S80" s="49"/>
      <c r="T80" s="49"/>
      <c r="AQ80">
        <v>5070</v>
      </c>
      <c r="AR80" t="s">
        <v>134</v>
      </c>
      <c r="AS80" t="s">
        <v>98</v>
      </c>
      <c r="BG80" s="23"/>
      <c r="BJ80">
        <v>67</v>
      </c>
      <c r="BK80">
        <v>395.45</v>
      </c>
    </row>
    <row r="81" spans="1:63" x14ac:dyDescent="0.3">
      <c r="A81" s="68"/>
      <c r="F81"/>
      <c r="N81" s="49"/>
      <c r="O81" s="49"/>
      <c r="P81" s="49"/>
      <c r="Q81" s="49"/>
      <c r="R81" s="49"/>
      <c r="S81" s="49"/>
      <c r="T81" s="49"/>
      <c r="AQ81">
        <v>5070</v>
      </c>
      <c r="AR81" t="s">
        <v>134</v>
      </c>
      <c r="AS81" t="s">
        <v>98</v>
      </c>
      <c r="BG81" s="23"/>
      <c r="BJ81">
        <v>68</v>
      </c>
      <c r="BK81">
        <v>395.45</v>
      </c>
    </row>
    <row r="82" spans="1:63" x14ac:dyDescent="0.3">
      <c r="A82" s="68" t="s">
        <v>418</v>
      </c>
      <c r="B82" s="68" t="str">
        <f>B21</f>
        <v>Art der Unterstützung</v>
      </c>
      <c r="N82" s="49"/>
      <c r="O82" s="49"/>
      <c r="P82" s="49"/>
      <c r="Q82" s="49"/>
      <c r="R82" s="49"/>
      <c r="S82" s="49"/>
      <c r="T82" s="49"/>
      <c r="AQ82">
        <v>5070</v>
      </c>
      <c r="AR82" t="s">
        <v>134</v>
      </c>
      <c r="AS82" t="s">
        <v>98</v>
      </c>
      <c r="BG82" s="23"/>
      <c r="BJ82">
        <v>69</v>
      </c>
      <c r="BK82">
        <v>395.45</v>
      </c>
    </row>
    <row r="83" spans="1:63" ht="14.5" x14ac:dyDescent="0.35">
      <c r="A83" s="68"/>
      <c r="B83" s="69" t="str">
        <f>IF(B82="teilunterstützt / arbeitet","Bitte das anrechenbare Einkommen mit der Quartalsabrechnung melden    -&gt;","Für diesen Monat werden keine Pauschalen vergütet")</f>
        <v>Für diesen Monat werden keine Pauschalen vergütet</v>
      </c>
      <c r="F83" s="135" t="str">
        <f>IF(B83="Bitte das anrechenbare Einkommen mit der Quartalsabrechnung melden    -&gt;",C25,"")</f>
        <v/>
      </c>
      <c r="N83" s="49"/>
      <c r="O83" s="49"/>
      <c r="P83" s="49"/>
      <c r="Q83" s="49"/>
      <c r="R83" s="49"/>
      <c r="S83" s="49"/>
      <c r="T83" s="49"/>
      <c r="AQ83">
        <v>5070</v>
      </c>
      <c r="AR83" t="s">
        <v>134</v>
      </c>
      <c r="AS83" t="s">
        <v>98</v>
      </c>
      <c r="BG83" s="23"/>
      <c r="BJ83">
        <v>70</v>
      </c>
      <c r="BK83">
        <v>395.45</v>
      </c>
    </row>
    <row r="84" spans="1:63" ht="14.5" x14ac:dyDescent="0.35">
      <c r="A84" s="68"/>
      <c r="B84" s="69"/>
      <c r="F84"/>
      <c r="N84" s="49"/>
      <c r="O84" s="49"/>
      <c r="P84" s="49"/>
      <c r="Q84" s="49"/>
      <c r="R84" s="49"/>
      <c r="S84" s="49"/>
      <c r="T84" s="49"/>
      <c r="BG84" s="23"/>
    </row>
    <row r="85" spans="1:63" x14ac:dyDescent="0.3">
      <c r="A85" s="68" t="s">
        <v>419</v>
      </c>
      <c r="B85" s="317"/>
      <c r="C85" s="317"/>
      <c r="D85" s="317"/>
      <c r="E85" s="317"/>
      <c r="F85"/>
      <c r="M85" t="s">
        <v>352</v>
      </c>
      <c r="N85" s="49"/>
      <c r="O85" s="49"/>
      <c r="P85" s="49"/>
      <c r="Q85" s="49"/>
      <c r="R85" s="49"/>
      <c r="S85" s="49"/>
      <c r="T85" s="49"/>
      <c r="BG85" s="23"/>
    </row>
    <row r="86" spans="1:63" ht="14.5" x14ac:dyDescent="0.35">
      <c r="A86" s="68"/>
      <c r="B86" s="69"/>
      <c r="F86"/>
      <c r="N86" s="49"/>
      <c r="O86" s="49"/>
      <c r="P86" s="49"/>
      <c r="Q86" s="49"/>
      <c r="R86" s="49"/>
      <c r="S86" s="49"/>
      <c r="T86" s="49"/>
      <c r="BG86" s="23"/>
    </row>
    <row r="87" spans="1:63" x14ac:dyDescent="0.3">
      <c r="A87" s="68" t="s">
        <v>420</v>
      </c>
      <c r="B87" s="214" t="s">
        <v>356</v>
      </c>
      <c r="C87" s="214"/>
      <c r="D87" s="214"/>
      <c r="E87" s="214"/>
      <c r="F87"/>
      <c r="M87" t="s">
        <v>357</v>
      </c>
      <c r="N87" s="49"/>
      <c r="O87" s="49"/>
      <c r="P87" s="49"/>
      <c r="Q87" s="49"/>
      <c r="R87" s="49"/>
      <c r="S87" s="49"/>
      <c r="T87" s="49"/>
      <c r="BG87" s="23"/>
    </row>
    <row r="88" spans="1:63" ht="14.5" x14ac:dyDescent="0.35">
      <c r="A88" s="68"/>
      <c r="B88" s="69"/>
      <c r="F88"/>
      <c r="M88" t="s">
        <v>367</v>
      </c>
      <c r="N88" s="49"/>
      <c r="O88" s="49"/>
      <c r="P88" s="49"/>
      <c r="Q88" s="49"/>
      <c r="R88" s="49"/>
      <c r="S88" s="49"/>
      <c r="T88" s="49"/>
      <c r="AQ88">
        <v>5079</v>
      </c>
      <c r="AR88" t="s">
        <v>143</v>
      </c>
      <c r="AS88" t="s">
        <v>98</v>
      </c>
      <c r="BG88" s="23"/>
    </row>
    <row r="89" spans="1:63" x14ac:dyDescent="0.3">
      <c r="A89" s="68"/>
      <c r="F89"/>
      <c r="N89" s="49"/>
      <c r="O89" s="49"/>
      <c r="P89" s="49"/>
      <c r="Q89" s="49"/>
      <c r="R89" s="49"/>
      <c r="S89" s="49"/>
      <c r="T89" s="49"/>
      <c r="BG89" s="23"/>
      <c r="BJ89">
        <v>71</v>
      </c>
      <c r="BK89">
        <v>395.45</v>
      </c>
    </row>
    <row r="90" spans="1:63" x14ac:dyDescent="0.3">
      <c r="F90" s="29"/>
      <c r="N90" s="49"/>
      <c r="O90" s="49"/>
      <c r="P90" s="49"/>
      <c r="Q90" s="49"/>
      <c r="R90" s="49"/>
      <c r="S90" s="49"/>
      <c r="T90" s="49"/>
      <c r="AQ90">
        <v>5072</v>
      </c>
      <c r="AR90" t="s">
        <v>135</v>
      </c>
      <c r="AS90" t="s">
        <v>98</v>
      </c>
      <c r="BG90" s="23"/>
      <c r="BJ90">
        <v>72</v>
      </c>
      <c r="BK90">
        <v>395.45</v>
      </c>
    </row>
    <row r="91" spans="1:63" x14ac:dyDescent="0.3">
      <c r="F91" s="29"/>
      <c r="N91" s="49"/>
      <c r="O91" s="49"/>
      <c r="P91" s="49"/>
      <c r="Q91" s="49"/>
      <c r="R91" s="49"/>
      <c r="S91" s="49"/>
      <c r="T91" s="49"/>
      <c r="AQ91">
        <v>5073</v>
      </c>
      <c r="AR91" t="s">
        <v>136</v>
      </c>
      <c r="AS91" t="s">
        <v>98</v>
      </c>
      <c r="BG91" s="23"/>
      <c r="BJ91">
        <v>73</v>
      </c>
      <c r="BK91">
        <v>395.45</v>
      </c>
    </row>
    <row r="92" spans="1:63" ht="19" x14ac:dyDescent="0.4">
      <c r="A92" s="82" t="s">
        <v>396</v>
      </c>
      <c r="B92" s="172"/>
      <c r="C92" s="172"/>
      <c r="D92" s="172"/>
      <c r="E92" s="172"/>
      <c r="F92" s="173"/>
      <c r="I92" s="2" t="s">
        <v>402</v>
      </c>
      <c r="N92" s="49"/>
      <c r="O92" s="49"/>
      <c r="P92" s="49"/>
      <c r="Q92" s="49"/>
      <c r="R92" s="49"/>
      <c r="S92" s="49"/>
      <c r="T92" s="49"/>
      <c r="BG92" s="23"/>
      <c r="BJ92">
        <v>78</v>
      </c>
      <c r="BK92">
        <v>395.45</v>
      </c>
    </row>
    <row r="93" spans="1:63" ht="16.5" x14ac:dyDescent="0.35">
      <c r="A93" s="68" t="str">
        <f>A3</f>
        <v>Vorläufig aufgenommene Ausländerinnen und Ausländer (Ausweis F)</v>
      </c>
      <c r="B93" s="172"/>
      <c r="C93" s="172"/>
      <c r="D93" s="172"/>
      <c r="E93" s="172"/>
      <c r="F93" s="173"/>
      <c r="N93" s="49"/>
      <c r="O93" s="49"/>
      <c r="P93" s="49"/>
      <c r="Q93" s="49"/>
      <c r="R93" s="49"/>
      <c r="S93" s="49"/>
      <c r="T93" s="49"/>
      <c r="BG93" s="23"/>
      <c r="BJ93">
        <v>79</v>
      </c>
      <c r="BK93">
        <v>395.45</v>
      </c>
    </row>
    <row r="94" spans="1:63" ht="16.5" x14ac:dyDescent="0.35">
      <c r="A94" s="68" t="str">
        <f>A4</f>
        <v>Schutzbedürftige ohne Aufenthaltsbewilligung (Ausweis S)</v>
      </c>
      <c r="B94" s="172"/>
      <c r="C94" s="172"/>
      <c r="D94" s="172"/>
      <c r="E94" s="179"/>
      <c r="F94" s="213"/>
      <c r="N94" s="49"/>
      <c r="O94" s="49"/>
      <c r="P94" s="49"/>
      <c r="Q94" s="49"/>
      <c r="R94" s="49"/>
      <c r="S94" s="49"/>
      <c r="T94" s="49"/>
      <c r="BG94" s="23"/>
      <c r="BJ94">
        <v>81</v>
      </c>
      <c r="BK94">
        <v>395.45</v>
      </c>
    </row>
    <row r="95" spans="1:63" ht="16.5" x14ac:dyDescent="0.35">
      <c r="A95" s="212" t="str">
        <f>A5</f>
        <v>gemäss Sozialhilfe- und Präventionsgesetz / Sozialhilfe- und Präventionsverordnung (SPG / SPV)</v>
      </c>
      <c r="B95" s="172"/>
      <c r="C95" s="172"/>
      <c r="D95" s="172"/>
      <c r="E95" s="172"/>
      <c r="F95" s="173"/>
      <c r="N95" s="49"/>
      <c r="O95" s="49"/>
      <c r="P95" s="49"/>
      <c r="Q95" s="49"/>
      <c r="R95" s="49"/>
      <c r="S95" s="49"/>
      <c r="T95" s="49"/>
      <c r="BG95" s="23"/>
    </row>
    <row r="96" spans="1:63" ht="12.75" customHeight="1" x14ac:dyDescent="0.35">
      <c r="A96" s="172"/>
      <c r="B96" s="172"/>
      <c r="C96" s="172"/>
      <c r="D96" s="172"/>
      <c r="E96" s="172"/>
      <c r="F96" s="173"/>
      <c r="N96" s="49"/>
      <c r="O96" s="49"/>
      <c r="P96" s="49"/>
      <c r="Q96" s="49"/>
      <c r="R96" s="49"/>
      <c r="S96" s="49"/>
      <c r="T96" s="49"/>
      <c r="BG96" s="23"/>
    </row>
    <row r="97" spans="1:63" ht="16.5" x14ac:dyDescent="0.35">
      <c r="A97" s="172" t="s">
        <v>12</v>
      </c>
      <c r="B97" s="172"/>
      <c r="C97" s="172" t="str">
        <f>CONCATENATE(A8," ",B8)</f>
        <v xml:space="preserve"> </v>
      </c>
      <c r="E97" s="174" t="s">
        <v>308</v>
      </c>
      <c r="F97" s="185" t="str">
        <f>CONCATENATE(C8)</f>
        <v/>
      </c>
      <c r="G97" s="29"/>
      <c r="O97" s="49"/>
      <c r="P97" s="49"/>
      <c r="Q97" s="49"/>
      <c r="R97" s="49"/>
      <c r="S97" s="49"/>
      <c r="T97" s="49"/>
      <c r="U97" s="49"/>
      <c r="AQ97">
        <v>5074</v>
      </c>
      <c r="AR97" t="s">
        <v>137</v>
      </c>
      <c r="AS97" t="s">
        <v>98</v>
      </c>
      <c r="BG97" s="23"/>
      <c r="BJ97">
        <v>74</v>
      </c>
      <c r="BK97">
        <v>395.45</v>
      </c>
    </row>
    <row r="98" spans="1:63" ht="16.5" x14ac:dyDescent="0.35">
      <c r="A98" s="172" t="s">
        <v>2</v>
      </c>
      <c r="B98" s="172"/>
      <c r="C98" s="172" t="str">
        <f>CONCATENATE(B17)</f>
        <v/>
      </c>
      <c r="E98" s="174" t="s">
        <v>309</v>
      </c>
      <c r="F98" s="185" t="str">
        <f>CONCATENATE(D8)</f>
        <v/>
      </c>
      <c r="G98" s="1"/>
      <c r="S98" s="23"/>
      <c r="AQ98">
        <v>5075</v>
      </c>
      <c r="AR98" t="s">
        <v>138</v>
      </c>
      <c r="AS98" t="s">
        <v>98</v>
      </c>
      <c r="BG98" s="23"/>
      <c r="BJ98">
        <v>75</v>
      </c>
      <c r="BK98">
        <v>395.45</v>
      </c>
    </row>
    <row r="99" spans="1:63" ht="16.5" x14ac:dyDescent="0.35">
      <c r="A99" s="172" t="s">
        <v>3</v>
      </c>
      <c r="B99" s="172"/>
      <c r="C99" s="175" t="str">
        <f>CONCATENATE(B18," ",B19)</f>
        <v xml:space="preserve"> </v>
      </c>
      <c r="D99" s="172"/>
      <c r="E99" s="172"/>
      <c r="F99" s="172"/>
      <c r="G99" s="1"/>
      <c r="AQ99">
        <v>5076</v>
      </c>
      <c r="AR99" t="s">
        <v>139</v>
      </c>
      <c r="AS99" t="s">
        <v>140</v>
      </c>
      <c r="BG99" s="23"/>
      <c r="BJ99">
        <v>76</v>
      </c>
      <c r="BK99">
        <v>395.45</v>
      </c>
    </row>
    <row r="100" spans="1:63" ht="16.149999999999999" customHeight="1" x14ac:dyDescent="0.35">
      <c r="A100" s="172"/>
      <c r="B100" s="172"/>
      <c r="C100" s="172"/>
      <c r="D100" s="172"/>
      <c r="E100" s="176"/>
      <c r="F100" s="177" t="str">
        <f>IF(AND(C8&gt;1,D8&lt;1),"Bitte AG-Nummer(n) eintragen","")</f>
        <v/>
      </c>
      <c r="G100" s="1"/>
      <c r="AQ100">
        <v>5077</v>
      </c>
      <c r="AR100" t="s">
        <v>141</v>
      </c>
      <c r="AS100" t="s">
        <v>140</v>
      </c>
      <c r="BG100" s="23"/>
      <c r="BJ100">
        <v>77</v>
      </c>
      <c r="BK100">
        <v>395.45</v>
      </c>
    </row>
    <row r="101" spans="1:63" ht="16.5" x14ac:dyDescent="0.35">
      <c r="A101" s="171" t="str">
        <f>IF(G8=1,(CONCATENATE("Pauschalen für den Monat ",N17," ",O17)),(CONCATENATE("Pauschalen für Ihre Unterstützungseinheit für den Monat ",N17," ",O17)))</f>
        <v>Pauschalen für Ihre Unterstützungseinheit für den Monat Januar 2025</v>
      </c>
      <c r="B101" s="171"/>
      <c r="C101" s="172"/>
      <c r="D101" s="178"/>
      <c r="F101" s="179" t="str">
        <f>G17</f>
        <v>31 Tage</v>
      </c>
      <c r="AQ101">
        <v>5078</v>
      </c>
      <c r="AR101" t="s">
        <v>142</v>
      </c>
      <c r="AS101" t="s">
        <v>140</v>
      </c>
      <c r="BG101" s="23"/>
      <c r="BJ101">
        <v>80</v>
      </c>
      <c r="BK101">
        <v>395.45</v>
      </c>
    </row>
    <row r="102" spans="1:63" ht="14.5" customHeight="1" thickBot="1" x14ac:dyDescent="0.4">
      <c r="A102" s="178"/>
      <c r="B102" s="172"/>
      <c r="C102" s="172"/>
      <c r="D102" s="172"/>
      <c r="E102" s="172"/>
      <c r="F102" s="172"/>
      <c r="AQ102">
        <v>5080</v>
      </c>
      <c r="AR102" t="s">
        <v>144</v>
      </c>
      <c r="AS102" t="s">
        <v>98</v>
      </c>
      <c r="BG102" s="23"/>
      <c r="BJ102">
        <v>82</v>
      </c>
      <c r="BK102">
        <v>395.45</v>
      </c>
    </row>
    <row r="103" spans="1:63" ht="22.5" customHeight="1" x14ac:dyDescent="0.3">
      <c r="A103" s="180" t="s">
        <v>27</v>
      </c>
      <c r="B103" s="181" t="s">
        <v>1</v>
      </c>
      <c r="C103" s="181"/>
      <c r="D103" s="182" t="s">
        <v>5</v>
      </c>
      <c r="E103" s="183" t="s">
        <v>310</v>
      </c>
      <c r="F103" s="184" t="str">
        <f>IF(F106&gt;20,"Lebensunterhalt","Kleidergeld")</f>
        <v>Kleidergeld</v>
      </c>
      <c r="G103" s="1"/>
      <c r="M103" t="s">
        <v>77</v>
      </c>
      <c r="AQ103">
        <v>5082</v>
      </c>
      <c r="AR103" t="s">
        <v>145</v>
      </c>
      <c r="AS103" t="s">
        <v>98</v>
      </c>
      <c r="BG103" s="23"/>
      <c r="BJ103">
        <v>83</v>
      </c>
      <c r="BK103">
        <v>395.45</v>
      </c>
    </row>
    <row r="104" spans="1:63" ht="13.5" customHeight="1" x14ac:dyDescent="0.3">
      <c r="A104" s="134"/>
      <c r="B104" s="140"/>
      <c r="C104" s="140"/>
      <c r="D104" s="186" t="s">
        <v>429</v>
      </c>
      <c r="E104" s="186" t="s">
        <v>389</v>
      </c>
      <c r="F104" s="188" t="str">
        <f>IF(F103="Kleidergeld","Fr. 20.00","inkl. Kleidergeld Fr. 20.00")</f>
        <v>Fr. 20.00</v>
      </c>
      <c r="G104" s="1"/>
      <c r="AQ104">
        <v>5083</v>
      </c>
      <c r="AR104" t="s">
        <v>145</v>
      </c>
      <c r="AS104" t="s">
        <v>98</v>
      </c>
      <c r="BG104" s="23"/>
      <c r="BJ104">
        <v>84</v>
      </c>
      <c r="BK104">
        <v>395.45</v>
      </c>
    </row>
    <row r="105" spans="1:63" ht="15.65" customHeight="1" x14ac:dyDescent="0.3">
      <c r="A105" s="134"/>
      <c r="B105" s="140"/>
      <c r="C105" s="140"/>
      <c r="D105" s="186" t="s">
        <v>430</v>
      </c>
      <c r="E105" s="187" t="s">
        <v>390</v>
      </c>
      <c r="F105" s="188" t="str">
        <f>IF(F103="Kleidergeld","pro Person und Monat","pro Person und Monat")</f>
        <v>pro Person und Monat</v>
      </c>
      <c r="G105" s="1"/>
      <c r="S105" t="s">
        <v>322</v>
      </c>
      <c r="AQ105">
        <v>5084</v>
      </c>
      <c r="AR105" t="s">
        <v>144</v>
      </c>
      <c r="AS105" t="s">
        <v>98</v>
      </c>
      <c r="BG105" s="23"/>
      <c r="BJ105">
        <v>85</v>
      </c>
      <c r="BK105">
        <v>395.45</v>
      </c>
    </row>
    <row r="106" spans="1:63" ht="17.5" customHeight="1" x14ac:dyDescent="0.35">
      <c r="A106" s="215" t="str">
        <f t="shared" ref="A106:B113" si="37">CONCATENATE(A8)</f>
        <v/>
      </c>
      <c r="B106" s="172" t="str">
        <f t="shared" si="37"/>
        <v/>
      </c>
      <c r="C106" s="172"/>
      <c r="D106" s="207" t="str">
        <f t="shared" ref="D106:D113" si="38">IF(C8&gt;1,((IF(F8&gt;15,$O$109*$M$16,$O$108*$M$16))),"")</f>
        <v/>
      </c>
      <c r="E106" s="207" t="str">
        <f t="shared" ref="E106:E113" si="39">IF(C8&gt;1,((IF(F8&gt;5,$P$109*$M$16,$P$107*$M$16))),"")</f>
        <v/>
      </c>
      <c r="F106" s="216">
        <f>IF(G8=0,0,((IF(R29&gt;0.01,R29,""))))</f>
        <v>0</v>
      </c>
      <c r="G106" s="1"/>
      <c r="N106" s="51" t="s">
        <v>7</v>
      </c>
      <c r="O106" s="51" t="s">
        <v>5</v>
      </c>
      <c r="P106" s="51" t="s">
        <v>6</v>
      </c>
      <c r="S106" s="51" t="s">
        <v>7</v>
      </c>
      <c r="T106" s="51" t="s">
        <v>5</v>
      </c>
      <c r="U106" s="51" t="s">
        <v>6</v>
      </c>
      <c r="AQ106">
        <v>5085</v>
      </c>
      <c r="AR106" t="s">
        <v>144</v>
      </c>
      <c r="AS106" t="s">
        <v>98</v>
      </c>
      <c r="BG106" s="23"/>
      <c r="BJ106">
        <v>86</v>
      </c>
      <c r="BK106">
        <v>395.45</v>
      </c>
    </row>
    <row r="107" spans="1:63" ht="16.5" x14ac:dyDescent="0.35">
      <c r="A107" s="215" t="str">
        <f t="shared" si="37"/>
        <v/>
      </c>
      <c r="B107" s="172" t="str">
        <f t="shared" si="37"/>
        <v/>
      </c>
      <c r="C107" s="172"/>
      <c r="D107" s="207" t="str">
        <f t="shared" si="38"/>
        <v/>
      </c>
      <c r="E107" s="207" t="str">
        <f t="shared" si="39"/>
        <v/>
      </c>
      <c r="F107" s="216" t="str">
        <f t="shared" ref="F107:F113" si="40">IF(R30&gt;0.01,R30,"")</f>
        <v/>
      </c>
      <c r="G107" s="1"/>
      <c r="M107" t="s">
        <v>311</v>
      </c>
      <c r="N107" s="57" t="s">
        <v>24</v>
      </c>
      <c r="O107" s="58">
        <v>8.5</v>
      </c>
      <c r="P107" s="58">
        <v>0</v>
      </c>
      <c r="S107" s="57" t="s">
        <v>24</v>
      </c>
      <c r="T107" s="58">
        <v>7.5</v>
      </c>
      <c r="U107" s="58">
        <v>0</v>
      </c>
      <c r="AQ107">
        <v>5102</v>
      </c>
      <c r="AR107" t="s">
        <v>146</v>
      </c>
      <c r="AS107" t="s">
        <v>147</v>
      </c>
      <c r="BG107" s="23"/>
      <c r="BJ107">
        <v>87</v>
      </c>
      <c r="BK107">
        <v>395.45</v>
      </c>
    </row>
    <row r="108" spans="1:63" ht="16.5" x14ac:dyDescent="0.35">
      <c r="A108" s="215" t="str">
        <f t="shared" si="37"/>
        <v/>
      </c>
      <c r="B108" s="172" t="str">
        <f t="shared" si="37"/>
        <v/>
      </c>
      <c r="C108" s="172"/>
      <c r="D108" s="207" t="str">
        <f t="shared" si="38"/>
        <v/>
      </c>
      <c r="E108" s="207" t="str">
        <f t="shared" si="39"/>
        <v/>
      </c>
      <c r="F108" s="216" t="str">
        <f t="shared" si="40"/>
        <v/>
      </c>
      <c r="G108" s="1"/>
      <c r="N108" s="59" t="s">
        <v>25</v>
      </c>
      <c r="O108" s="58">
        <v>8.5</v>
      </c>
      <c r="P108" s="58">
        <v>1</v>
      </c>
      <c r="S108" s="59" t="s">
        <v>25</v>
      </c>
      <c r="T108" s="58">
        <v>7.5</v>
      </c>
      <c r="U108" s="58">
        <v>1</v>
      </c>
      <c r="AQ108">
        <v>5103</v>
      </c>
      <c r="AR108" t="s">
        <v>148</v>
      </c>
      <c r="AS108" t="s">
        <v>147</v>
      </c>
      <c r="BG108" s="23"/>
      <c r="BJ108">
        <v>88</v>
      </c>
      <c r="BK108">
        <v>395.45</v>
      </c>
    </row>
    <row r="109" spans="1:63" ht="16.5" x14ac:dyDescent="0.35">
      <c r="A109" s="215" t="str">
        <f t="shared" si="37"/>
        <v/>
      </c>
      <c r="B109" s="172" t="str">
        <f t="shared" si="37"/>
        <v/>
      </c>
      <c r="C109" s="172"/>
      <c r="D109" s="207" t="str">
        <f t="shared" si="38"/>
        <v/>
      </c>
      <c r="E109" s="207" t="str">
        <f t="shared" si="39"/>
        <v/>
      </c>
      <c r="F109" s="216" t="str">
        <f t="shared" si="40"/>
        <v/>
      </c>
      <c r="G109" s="1"/>
      <c r="N109" s="57" t="s">
        <v>26</v>
      </c>
      <c r="O109" s="58">
        <v>9</v>
      </c>
      <c r="P109" s="58">
        <v>1</v>
      </c>
      <c r="S109" s="57" t="s">
        <v>26</v>
      </c>
      <c r="T109" s="58">
        <v>8</v>
      </c>
      <c r="U109" s="58">
        <v>1</v>
      </c>
      <c r="AQ109">
        <v>5105</v>
      </c>
      <c r="AR109" t="s">
        <v>149</v>
      </c>
      <c r="AS109" t="s">
        <v>140</v>
      </c>
      <c r="BG109" s="23"/>
      <c r="BJ109">
        <v>89</v>
      </c>
      <c r="BK109">
        <v>395.45</v>
      </c>
    </row>
    <row r="110" spans="1:63" ht="16.5" x14ac:dyDescent="0.35">
      <c r="A110" s="215" t="str">
        <f t="shared" si="37"/>
        <v/>
      </c>
      <c r="B110" s="172" t="str">
        <f t="shared" si="37"/>
        <v/>
      </c>
      <c r="C110" s="172"/>
      <c r="D110" s="207" t="str">
        <f t="shared" si="38"/>
        <v/>
      </c>
      <c r="E110" s="207" t="str">
        <f t="shared" si="39"/>
        <v/>
      </c>
      <c r="F110" s="216" t="str">
        <f t="shared" si="40"/>
        <v/>
      </c>
      <c r="G110" s="1"/>
      <c r="AQ110">
        <v>5106</v>
      </c>
      <c r="AR110" t="s">
        <v>278</v>
      </c>
      <c r="AS110" t="s">
        <v>140</v>
      </c>
      <c r="BG110" s="23"/>
      <c r="BJ110">
        <v>90</v>
      </c>
      <c r="BK110">
        <v>395.45</v>
      </c>
    </row>
    <row r="111" spans="1:63" ht="16.5" x14ac:dyDescent="0.35">
      <c r="A111" s="215" t="str">
        <f t="shared" si="37"/>
        <v/>
      </c>
      <c r="B111" s="172" t="str">
        <f t="shared" si="37"/>
        <v/>
      </c>
      <c r="C111" s="172"/>
      <c r="D111" s="207" t="str">
        <f t="shared" si="38"/>
        <v/>
      </c>
      <c r="E111" s="207" t="str">
        <f t="shared" si="39"/>
        <v/>
      </c>
      <c r="F111" s="216" t="str">
        <f t="shared" si="40"/>
        <v/>
      </c>
      <c r="G111" s="1"/>
      <c r="S111" t="s">
        <v>35</v>
      </c>
      <c r="AQ111">
        <v>5107</v>
      </c>
      <c r="AR111" t="s">
        <v>150</v>
      </c>
      <c r="AS111" t="s">
        <v>140</v>
      </c>
      <c r="BG111" s="23"/>
      <c r="BJ111">
        <v>91</v>
      </c>
      <c r="BK111">
        <v>395.45</v>
      </c>
    </row>
    <row r="112" spans="1:63" ht="16.5" hidden="1" x14ac:dyDescent="0.35">
      <c r="A112" s="215" t="str">
        <f t="shared" si="37"/>
        <v/>
      </c>
      <c r="B112" s="172" t="str">
        <f t="shared" si="37"/>
        <v/>
      </c>
      <c r="C112" s="172"/>
      <c r="D112" s="207" t="str">
        <f t="shared" si="38"/>
        <v/>
      </c>
      <c r="E112" s="207" t="str">
        <f t="shared" si="39"/>
        <v/>
      </c>
      <c r="F112" s="216" t="str">
        <f t="shared" si="40"/>
        <v/>
      </c>
      <c r="G112" s="1"/>
      <c r="J112" s="22" t="s">
        <v>324</v>
      </c>
      <c r="S112" s="51" t="s">
        <v>7</v>
      </c>
      <c r="T112" s="51" t="s">
        <v>5</v>
      </c>
      <c r="U112" s="51" t="s">
        <v>6</v>
      </c>
      <c r="AQ112">
        <v>5108</v>
      </c>
      <c r="AR112" t="s">
        <v>150</v>
      </c>
      <c r="AS112" t="s">
        <v>140</v>
      </c>
      <c r="BG112" s="23"/>
      <c r="BJ112">
        <v>92</v>
      </c>
      <c r="BK112">
        <v>395.45</v>
      </c>
    </row>
    <row r="113" spans="1:63" ht="14.15" hidden="1" customHeight="1" x14ac:dyDescent="0.35">
      <c r="A113" s="215" t="str">
        <f t="shared" si="37"/>
        <v/>
      </c>
      <c r="B113" s="172" t="str">
        <f t="shared" si="37"/>
        <v/>
      </c>
      <c r="C113" s="172"/>
      <c r="D113" s="207" t="str">
        <f t="shared" si="38"/>
        <v/>
      </c>
      <c r="E113" s="207" t="str">
        <f t="shared" si="39"/>
        <v/>
      </c>
      <c r="F113" s="216" t="str">
        <f t="shared" si="40"/>
        <v/>
      </c>
      <c r="G113" s="1"/>
      <c r="J113" s="22" t="s">
        <v>324</v>
      </c>
      <c r="S113" s="57" t="s">
        <v>24</v>
      </c>
      <c r="T113" s="58">
        <v>8</v>
      </c>
      <c r="U113" s="58">
        <v>0</v>
      </c>
      <c r="AQ113">
        <v>5112</v>
      </c>
      <c r="AR113" t="s">
        <v>279</v>
      </c>
      <c r="AS113" t="s">
        <v>140</v>
      </c>
      <c r="BG113" s="23"/>
      <c r="BJ113">
        <v>93</v>
      </c>
      <c r="BK113">
        <v>395.45</v>
      </c>
    </row>
    <row r="114" spans="1:63" ht="16.5" x14ac:dyDescent="0.35">
      <c r="A114" s="231"/>
      <c r="B114" s="232"/>
      <c r="C114" s="232"/>
      <c r="D114" s="233">
        <f>SUM(D106:D113)</f>
        <v>0</v>
      </c>
      <c r="E114" s="233">
        <f>SUM(E106:E113)</f>
        <v>0</v>
      </c>
      <c r="F114" s="234">
        <f>SUM(F106:F113)</f>
        <v>0</v>
      </c>
      <c r="G114" s="1"/>
      <c r="S114" s="59" t="s">
        <v>321</v>
      </c>
      <c r="T114" s="58">
        <v>8</v>
      </c>
      <c r="U114" s="58">
        <v>1</v>
      </c>
      <c r="AQ114">
        <v>5113</v>
      </c>
      <c r="AR114" t="s">
        <v>280</v>
      </c>
      <c r="AS114" t="s">
        <v>147</v>
      </c>
      <c r="BG114" s="23"/>
      <c r="BJ114">
        <v>94</v>
      </c>
      <c r="BK114">
        <v>395.45</v>
      </c>
    </row>
    <row r="115" spans="1:63" ht="17" thickBot="1" x14ac:dyDescent="0.4">
      <c r="A115" s="235" t="s">
        <v>346</v>
      </c>
      <c r="B115" s="236"/>
      <c r="C115" s="236"/>
      <c r="D115" s="237"/>
      <c r="E115" s="237"/>
      <c r="F115" s="238">
        <f>SUM(D114:F114)</f>
        <v>0</v>
      </c>
      <c r="G115" s="1"/>
      <c r="S115" s="57" t="s">
        <v>26</v>
      </c>
      <c r="T115" s="58">
        <v>8.5</v>
      </c>
      <c r="U115" s="58">
        <v>1</v>
      </c>
      <c r="AQ115">
        <v>5116</v>
      </c>
      <c r="AR115" t="s">
        <v>151</v>
      </c>
      <c r="AS115" t="s">
        <v>140</v>
      </c>
      <c r="BG115" s="23"/>
      <c r="BJ115">
        <v>95</v>
      </c>
      <c r="BK115">
        <v>395.45</v>
      </c>
    </row>
    <row r="116" spans="1:63" ht="17" thickBot="1" x14ac:dyDescent="0.4">
      <c r="A116" s="171"/>
      <c r="B116" s="171"/>
      <c r="C116" s="171"/>
      <c r="D116" s="174"/>
      <c r="E116" s="174"/>
      <c r="F116" s="174"/>
      <c r="G116" s="1"/>
      <c r="AQ116">
        <v>5200</v>
      </c>
      <c r="AR116" t="s">
        <v>152</v>
      </c>
      <c r="AS116" t="s">
        <v>140</v>
      </c>
      <c r="BG116" s="23"/>
      <c r="BJ116">
        <v>96</v>
      </c>
      <c r="BK116">
        <v>395.45</v>
      </c>
    </row>
    <row r="117" spans="1:63" ht="21" customHeight="1" x14ac:dyDescent="0.3">
      <c r="A117" s="239" t="s">
        <v>425</v>
      </c>
      <c r="B117" s="240"/>
      <c r="C117" s="240"/>
      <c r="D117" s="240"/>
      <c r="E117" s="240"/>
      <c r="F117" s="241"/>
      <c r="G117" s="1"/>
      <c r="BG117" s="23"/>
      <c r="BJ117">
        <v>97</v>
      </c>
      <c r="BK117">
        <v>395.45</v>
      </c>
    </row>
    <row r="118" spans="1:63" ht="22.5" customHeight="1" x14ac:dyDescent="0.35">
      <c r="A118" s="219" t="s">
        <v>295</v>
      </c>
      <c r="B118" s="172"/>
      <c r="C118" s="172"/>
      <c r="D118" s="174"/>
      <c r="E118" s="174"/>
      <c r="F118" s="216">
        <f>+C41</f>
        <v>0</v>
      </c>
      <c r="G118" s="1"/>
      <c r="S118" t="s">
        <v>36</v>
      </c>
      <c r="U118" s="60">
        <v>45658</v>
      </c>
      <c r="V118" t="s">
        <v>37</v>
      </c>
      <c r="AQ118">
        <v>5210</v>
      </c>
      <c r="AR118" t="s">
        <v>153</v>
      </c>
      <c r="AS118" t="s">
        <v>140</v>
      </c>
      <c r="BG118" s="23"/>
      <c r="BJ118">
        <v>98</v>
      </c>
      <c r="BK118">
        <v>395.45</v>
      </c>
    </row>
    <row r="119" spans="1:63" x14ac:dyDescent="0.3">
      <c r="A119" s="223" t="str">
        <f>CONCATENATE(N29,O29,N30,O30,N31,O31,N32,O32,N33,O33,N34,O34,N35,O35,N36,O36)</f>
        <v/>
      </c>
      <c r="D119" s="1"/>
      <c r="E119" s="1"/>
      <c r="F119" s="224"/>
      <c r="G119" s="1"/>
      <c r="U119" s="23"/>
      <c r="AQ119">
        <v>5212</v>
      </c>
      <c r="AR119" t="s">
        <v>281</v>
      </c>
      <c r="AS119" t="s">
        <v>140</v>
      </c>
      <c r="BG119" s="23"/>
      <c r="BJ119">
        <v>99</v>
      </c>
      <c r="BK119">
        <v>395.45</v>
      </c>
    </row>
    <row r="120" spans="1:63" ht="8.5" customHeight="1" x14ac:dyDescent="0.3">
      <c r="A120" s="225"/>
      <c r="D120" s="1"/>
      <c r="E120" s="1"/>
      <c r="F120" s="224"/>
      <c r="G120" s="1"/>
      <c r="AQ120">
        <v>5213</v>
      </c>
      <c r="AR120" t="s">
        <v>154</v>
      </c>
      <c r="AS120" t="s">
        <v>140</v>
      </c>
      <c r="BG120" s="23"/>
      <c r="BJ120">
        <v>100</v>
      </c>
      <c r="BK120">
        <v>395.45</v>
      </c>
    </row>
    <row r="121" spans="1:63" ht="16.5" x14ac:dyDescent="0.35">
      <c r="A121" s="219" t="s">
        <v>343</v>
      </c>
      <c r="B121" s="172"/>
      <c r="C121" s="172"/>
      <c r="D121" s="226"/>
      <c r="E121" s="226"/>
      <c r="F121" s="216">
        <f>B29</f>
        <v>0</v>
      </c>
      <c r="G121" s="1"/>
      <c r="AQ121">
        <v>5222</v>
      </c>
      <c r="AR121" t="s">
        <v>152</v>
      </c>
      <c r="AS121" t="s">
        <v>140</v>
      </c>
    </row>
    <row r="122" spans="1:63" ht="17.149999999999999" customHeight="1" x14ac:dyDescent="0.3">
      <c r="A122" s="225"/>
      <c r="F122" s="227"/>
      <c r="G122" s="1"/>
      <c r="AQ122">
        <v>5223</v>
      </c>
      <c r="AR122" t="s">
        <v>155</v>
      </c>
      <c r="AS122" t="s">
        <v>140</v>
      </c>
    </row>
    <row r="123" spans="1:63" ht="16.5" x14ac:dyDescent="0.35">
      <c r="A123" s="219" t="str">
        <f>IF(B63&gt;0,"Vergütung für auswärtige Verpflegung gemäss Stellenprozent","")</f>
        <v/>
      </c>
      <c r="B123" s="172"/>
      <c r="C123" s="172"/>
      <c r="D123" s="172"/>
      <c r="E123" s="226"/>
      <c r="F123" s="216" t="str">
        <f>IF(B63&gt;0,((SUM(N125:Q125))),"")</f>
        <v/>
      </c>
      <c r="G123" s="1"/>
      <c r="N123" s="61" t="s">
        <v>61</v>
      </c>
      <c r="O123" s="61"/>
      <c r="P123" s="61"/>
      <c r="Q123" s="61"/>
      <c r="R123" s="61"/>
      <c r="S123" s="61"/>
      <c r="T123" s="61"/>
      <c r="AQ123">
        <v>5225</v>
      </c>
      <c r="AR123" t="s">
        <v>156</v>
      </c>
      <c r="AS123" t="s">
        <v>140</v>
      </c>
    </row>
    <row r="124" spans="1:63" x14ac:dyDescent="0.3">
      <c r="A124" s="228" t="str">
        <f>IF(G8=1,"",(IF(N126&gt;1,CONCATENATE(R124,S124,T124,U124),"")))</f>
        <v/>
      </c>
      <c r="F124" s="227"/>
      <c r="G124" s="1"/>
      <c r="N124" s="1" t="str">
        <f>A29</f>
        <v/>
      </c>
      <c r="O124" s="1" t="str">
        <f>A30</f>
        <v/>
      </c>
      <c r="P124" s="1" t="str">
        <f>A31</f>
        <v/>
      </c>
      <c r="Q124" s="1" t="str">
        <f>A32</f>
        <v/>
      </c>
      <c r="R124" s="52" t="str">
        <f>IF(N126&gt;1,(CONCATENATE(N124,", Fr. ",(TEXT(N126,"0.00")))),"")</f>
        <v/>
      </c>
      <c r="S124" s="52" t="str">
        <f>IF(O126&gt;0.1,(CONCATENATE(" / ",O124,", Fr. ",(TEXT(O126,"0.00")))),"")</f>
        <v/>
      </c>
      <c r="T124" s="52" t="str">
        <f>IF(P126&gt;0.1,(CONCATENATE(" / ",P124,", Fr. ",(TEXT(P126,"0.00")))),"")</f>
        <v/>
      </c>
      <c r="U124" s="52" t="str">
        <f>IF(Q126&gt;0.1,(CONCATENATE(" / ",Q124,", Fr. ",(TEXT(Q126,"0.00")))),"")</f>
        <v/>
      </c>
      <c r="AQ124">
        <v>5233</v>
      </c>
      <c r="AR124" t="s">
        <v>157</v>
      </c>
      <c r="AS124" t="s">
        <v>140</v>
      </c>
    </row>
    <row r="125" spans="1:63" ht="8.5" customHeight="1" x14ac:dyDescent="0.3">
      <c r="A125" s="229"/>
      <c r="F125" s="227"/>
      <c r="G125" s="1"/>
      <c r="N125" s="23">
        <f>B55*22*(D44+E44+F44)</f>
        <v>0</v>
      </c>
      <c r="O125" s="23">
        <f>B56*22*(D45+E45+F45)</f>
        <v>0</v>
      </c>
      <c r="P125" s="23">
        <f>B57*22*(D46+E46+F46)</f>
        <v>0</v>
      </c>
      <c r="Q125" s="23">
        <f>B58*22*(D47+E47+F47)</f>
        <v>0</v>
      </c>
      <c r="AQ125">
        <v>5234</v>
      </c>
      <c r="AR125" t="s">
        <v>157</v>
      </c>
      <c r="AS125" t="s">
        <v>140</v>
      </c>
    </row>
    <row r="126" spans="1:63" ht="16.5" x14ac:dyDescent="0.35">
      <c r="A126" s="219" t="s">
        <v>384</v>
      </c>
      <c r="B126" s="172"/>
      <c r="C126" s="172"/>
      <c r="D126" s="172"/>
      <c r="E126" s="172"/>
      <c r="F126" s="216">
        <f>C63</f>
        <v>0</v>
      </c>
      <c r="G126" s="1"/>
      <c r="N126" s="23">
        <f>IF(N125&gt;0.01,N125,0)</f>
        <v>0</v>
      </c>
      <c r="O126" s="23">
        <f>IF(O125&gt;0.01,O125,0)</f>
        <v>0</v>
      </c>
      <c r="P126" s="23">
        <f>IF(P125&gt;0.01,P125,0)</f>
        <v>0</v>
      </c>
      <c r="Q126" s="23">
        <f>IF(Q125&gt;0.01,Q125,0)</f>
        <v>0</v>
      </c>
      <c r="R126" t="s">
        <v>60</v>
      </c>
      <c r="AQ126">
        <v>5235</v>
      </c>
      <c r="AR126" t="s">
        <v>158</v>
      </c>
      <c r="AS126" t="s">
        <v>140</v>
      </c>
    </row>
    <row r="127" spans="1:63" x14ac:dyDescent="0.3">
      <c r="A127" s="223" t="str">
        <f>CONCATENATE(N55,O55,N56,O56,N57,O57,N58,O58,N59,O59,N60,O60,N61,O61)</f>
        <v/>
      </c>
      <c r="D127" s="1"/>
      <c r="E127" s="1"/>
      <c r="F127" s="224"/>
      <c r="G127" s="1"/>
      <c r="U127" s="23"/>
      <c r="AQ127">
        <v>5236</v>
      </c>
      <c r="AR127" t="s">
        <v>159</v>
      </c>
      <c r="AS127" t="s">
        <v>140</v>
      </c>
      <c r="BG127" s="23"/>
    </row>
    <row r="128" spans="1:63" ht="8.5" customHeight="1" x14ac:dyDescent="0.3">
      <c r="A128" s="225"/>
      <c r="D128" s="1"/>
      <c r="E128" s="1"/>
      <c r="F128" s="224"/>
      <c r="G128" s="1"/>
      <c r="S128" t="str">
        <f>IF(H128&gt;0,(CONCATENATE(E128,", ",M128,", Fr. ",(TEXT(H128,"0.00")))),"")</f>
        <v/>
      </c>
      <c r="AQ128">
        <v>5237</v>
      </c>
      <c r="AR128" t="s">
        <v>160</v>
      </c>
      <c r="AS128" t="s">
        <v>140</v>
      </c>
      <c r="BG128" s="23"/>
    </row>
    <row r="129" spans="1:45" hidden="1" x14ac:dyDescent="0.3">
      <c r="A129" s="225" t="s">
        <v>11</v>
      </c>
      <c r="F129" s="230">
        <f>E63</f>
        <v>0</v>
      </c>
      <c r="G129" s="1"/>
      <c r="AQ129">
        <v>5242</v>
      </c>
      <c r="AR129" t="s">
        <v>161</v>
      </c>
      <c r="AS129" t="s">
        <v>140</v>
      </c>
    </row>
    <row r="130" spans="1:45" hidden="1" x14ac:dyDescent="0.3">
      <c r="A130" s="229" t="str">
        <f>CONCATENATE(Q55,R55,Q56,R56,Q57,R57,Q58,R58,Q59,R59,Q60,R60,Q61,R61,Q62,R62)</f>
        <v/>
      </c>
      <c r="F130" s="227"/>
      <c r="G130" s="1"/>
      <c r="AQ130">
        <v>5243</v>
      </c>
      <c r="AR130" t="s">
        <v>162</v>
      </c>
      <c r="AS130" t="s">
        <v>140</v>
      </c>
    </row>
    <row r="131" spans="1:45" ht="8.5" hidden="1" customHeight="1" x14ac:dyDescent="0.3">
      <c r="A131" s="225"/>
      <c r="F131" s="227"/>
      <c r="G131" s="1"/>
      <c r="AQ131">
        <v>5244</v>
      </c>
      <c r="AR131" t="s">
        <v>163</v>
      </c>
      <c r="AS131" t="s">
        <v>140</v>
      </c>
    </row>
    <row r="132" spans="1:45" ht="16.5" x14ac:dyDescent="0.35">
      <c r="A132" s="219" t="s">
        <v>39</v>
      </c>
      <c r="B132" s="172"/>
      <c r="C132" s="172"/>
      <c r="D132" s="172"/>
      <c r="E132" s="172"/>
      <c r="F132" s="216">
        <f>G75-G41</f>
        <v>0</v>
      </c>
      <c r="G132" s="1"/>
      <c r="AQ132">
        <v>5245</v>
      </c>
      <c r="AR132" t="s">
        <v>164</v>
      </c>
      <c r="AS132" t="s">
        <v>140</v>
      </c>
    </row>
    <row r="133" spans="1:45" x14ac:dyDescent="0.3">
      <c r="A133" s="223" t="str">
        <f>CONCATENATE(N72,O72,N73,O73,N74)</f>
        <v/>
      </c>
      <c r="F133" s="227"/>
      <c r="G133" s="1"/>
      <c r="AQ133">
        <v>5246</v>
      </c>
      <c r="AR133" t="s">
        <v>165</v>
      </c>
      <c r="AS133" t="s">
        <v>140</v>
      </c>
    </row>
    <row r="134" spans="1:45" x14ac:dyDescent="0.3">
      <c r="A134" s="223" t="str">
        <f>CONCATENATE(U29)</f>
        <v/>
      </c>
      <c r="F134" s="227"/>
      <c r="G134" s="1"/>
      <c r="AQ134">
        <v>5272</v>
      </c>
      <c r="AR134" t="s">
        <v>166</v>
      </c>
      <c r="AS134" t="s">
        <v>98</v>
      </c>
    </row>
    <row r="135" spans="1:45" ht="17" thickBot="1" x14ac:dyDescent="0.4">
      <c r="A135" s="235" t="s">
        <v>437</v>
      </c>
      <c r="B135" s="242"/>
      <c r="C135" s="242"/>
      <c r="D135" s="242"/>
      <c r="E135" s="242"/>
      <c r="F135" s="245">
        <f>MROUND(SUM(F115:F133),0.05)</f>
        <v>0</v>
      </c>
      <c r="G135" s="1"/>
      <c r="M135" t="s">
        <v>318</v>
      </c>
      <c r="AQ135">
        <v>5273</v>
      </c>
      <c r="AR135" t="s">
        <v>167</v>
      </c>
      <c r="AS135" t="s">
        <v>98</v>
      </c>
    </row>
    <row r="136" spans="1:45" ht="14.5" thickBot="1" x14ac:dyDescent="0.35">
      <c r="F136"/>
      <c r="G136" s="1"/>
      <c r="AQ136">
        <v>5274</v>
      </c>
      <c r="AR136" t="s">
        <v>167</v>
      </c>
      <c r="AS136" t="s">
        <v>98</v>
      </c>
    </row>
    <row r="137" spans="1:45" ht="14.5" hidden="1" thickBot="1" x14ac:dyDescent="0.35">
      <c r="F137"/>
      <c r="G137" s="1"/>
      <c r="AQ137">
        <v>5275</v>
      </c>
      <c r="AR137" t="s">
        <v>167</v>
      </c>
      <c r="AS137" t="s">
        <v>98</v>
      </c>
    </row>
    <row r="138" spans="1:45" ht="21" customHeight="1" x14ac:dyDescent="0.3">
      <c r="A138" s="203" t="s">
        <v>47</v>
      </c>
      <c r="B138" s="204"/>
      <c r="C138" s="204"/>
      <c r="D138" s="205" t="s">
        <v>46</v>
      </c>
      <c r="E138" s="205" t="s">
        <v>48</v>
      </c>
      <c r="F138" s="206" t="s">
        <v>52</v>
      </c>
      <c r="G138" s="1"/>
      <c r="AQ138">
        <v>5276</v>
      </c>
      <c r="AR138" t="s">
        <v>167</v>
      </c>
      <c r="AS138" t="s">
        <v>98</v>
      </c>
    </row>
    <row r="139" spans="1:45" ht="22.5" customHeight="1" x14ac:dyDescent="0.35">
      <c r="A139" s="215" t="str">
        <f>IF(D139&lt;&gt;0,(CONCATENATE(A44,", ",B44)),"")</f>
        <v/>
      </c>
      <c r="B139" s="178"/>
      <c r="C139" s="178"/>
      <c r="D139" s="207">
        <f>C44</f>
        <v>0</v>
      </c>
      <c r="E139" s="207">
        <f>G44</f>
        <v>0</v>
      </c>
      <c r="F139" s="216" t="str">
        <f>IF(C44&gt;0,(C44+G44),"")</f>
        <v/>
      </c>
      <c r="G139" s="1"/>
      <c r="M139" s="23"/>
      <c r="N139" s="23"/>
      <c r="AQ139">
        <v>5277</v>
      </c>
      <c r="AR139" t="s">
        <v>167</v>
      </c>
      <c r="AS139" t="s">
        <v>98</v>
      </c>
    </row>
    <row r="140" spans="1:45" ht="16.5" x14ac:dyDescent="0.35">
      <c r="A140" s="215" t="str">
        <f>IF(D140&lt;&gt;"",(CONCATENATE(A45,", ",B45)),"")</f>
        <v/>
      </c>
      <c r="B140" s="178"/>
      <c r="C140" s="178"/>
      <c r="D140" s="207" t="str">
        <f>IF(C45&lt;&gt;0,C45,"")</f>
        <v/>
      </c>
      <c r="E140" s="207" t="str">
        <f>IF(G45=0,"",G45)</f>
        <v/>
      </c>
      <c r="F140" s="216" t="str">
        <f>IF(C45&gt;0,(C45+G45),"")</f>
        <v/>
      </c>
      <c r="G140" s="1"/>
      <c r="N140" s="23"/>
      <c r="AQ140">
        <v>5300</v>
      </c>
      <c r="AR140" t="s">
        <v>168</v>
      </c>
      <c r="AS140" t="s">
        <v>169</v>
      </c>
    </row>
    <row r="141" spans="1:45" ht="16.5" x14ac:dyDescent="0.35">
      <c r="A141" s="215" t="str">
        <f>IF(D141&lt;&gt;"",(CONCATENATE(A46,", ",B46)),"")</f>
        <v/>
      </c>
      <c r="B141" s="178"/>
      <c r="C141" s="178"/>
      <c r="D141" s="207" t="str">
        <f>IF(C46&lt;&gt;0,C46,"")</f>
        <v/>
      </c>
      <c r="E141" s="207" t="str">
        <f>IF(G46=0,"",G46)</f>
        <v/>
      </c>
      <c r="F141" s="216" t="str">
        <f>IF(C46&gt;0,(C46+G46),"")</f>
        <v/>
      </c>
      <c r="G141" s="1"/>
      <c r="N141" s="23"/>
      <c r="AQ141">
        <v>5301</v>
      </c>
      <c r="AR141" t="s">
        <v>170</v>
      </c>
      <c r="AS141" t="s">
        <v>169</v>
      </c>
    </row>
    <row r="142" spans="1:45" ht="16.5" hidden="1" x14ac:dyDescent="0.35">
      <c r="A142" s="215" t="str">
        <f>IF(D142&lt;&gt;"",(CONCATENATE(A47,", ",B47)),"")</f>
        <v/>
      </c>
      <c r="B142" s="178"/>
      <c r="C142" s="178"/>
      <c r="D142" s="207" t="str">
        <f>IF(C47&lt;&gt;0,C47,"")</f>
        <v/>
      </c>
      <c r="E142" s="207" t="str">
        <f>IF(G47=0,"",G47)</f>
        <v/>
      </c>
      <c r="F142" s="216" t="str">
        <f>IF(C47&gt;0,(C47+G47),"")</f>
        <v/>
      </c>
      <c r="G142" s="1"/>
      <c r="L142" s="22" t="s">
        <v>388</v>
      </c>
      <c r="M142" s="22"/>
      <c r="N142" s="62"/>
      <c r="O142" s="22"/>
      <c r="AQ142">
        <v>5303</v>
      </c>
      <c r="AR142" t="s">
        <v>171</v>
      </c>
      <c r="AS142" t="s">
        <v>169</v>
      </c>
    </row>
    <row r="143" spans="1:45" ht="16.5" hidden="1" x14ac:dyDescent="0.35">
      <c r="A143" s="215" t="str">
        <f>IF(D143&lt;&gt;"",(CONCATENATE(A48,", ",B48)),"")</f>
        <v/>
      </c>
      <c r="B143" s="178"/>
      <c r="C143" s="178"/>
      <c r="D143" s="217"/>
      <c r="E143" s="217"/>
      <c r="F143" s="218"/>
      <c r="G143" s="1"/>
      <c r="L143" s="22" t="s">
        <v>388</v>
      </c>
      <c r="M143" s="22"/>
      <c r="N143" s="62"/>
      <c r="O143" s="22"/>
      <c r="AQ143">
        <v>5304</v>
      </c>
      <c r="AR143" t="s">
        <v>172</v>
      </c>
      <c r="AS143" t="s">
        <v>173</v>
      </c>
    </row>
    <row r="144" spans="1:45" ht="16.5" x14ac:dyDescent="0.35">
      <c r="A144" s="219" t="str">
        <f>IF(N68=0,"","weitere Einnahmen")</f>
        <v/>
      </c>
      <c r="B144" s="220"/>
      <c r="C144" s="220"/>
      <c r="D144" s="220"/>
      <c r="E144" s="220"/>
      <c r="F144" s="218"/>
      <c r="G144" s="1"/>
      <c r="M144" t="s">
        <v>348</v>
      </c>
      <c r="AQ144">
        <v>5305</v>
      </c>
      <c r="AR144" t="s">
        <v>172</v>
      </c>
      <c r="AS144" t="s">
        <v>173</v>
      </c>
    </row>
    <row r="145" spans="1:45" ht="16.5" x14ac:dyDescent="0.35">
      <c r="A145" s="221" t="str">
        <f>IF(G65&gt;0.01,(CONCATENATE(" Überschuss ",D65)),"")</f>
        <v/>
      </c>
      <c r="B145" s="220"/>
      <c r="C145" s="220"/>
      <c r="D145" s="222"/>
      <c r="E145" s="220"/>
      <c r="F145" s="216">
        <f>IF(G65=0,0,G65)</f>
        <v>0</v>
      </c>
      <c r="G145" s="1"/>
      <c r="AQ145">
        <v>5306</v>
      </c>
      <c r="AR145" t="s">
        <v>174</v>
      </c>
      <c r="AS145" t="s">
        <v>173</v>
      </c>
    </row>
    <row r="146" spans="1:45" ht="16.5" x14ac:dyDescent="0.35">
      <c r="A146" s="221" t="str">
        <f>CONCATENATE(" ",D66)</f>
        <v xml:space="preserve"> </v>
      </c>
      <c r="B146" s="220"/>
      <c r="C146" s="220"/>
      <c r="D146" s="222"/>
      <c r="E146" s="220"/>
      <c r="F146" s="216">
        <f>IF(G66=0,0,G66)</f>
        <v>0</v>
      </c>
      <c r="G146" s="1"/>
      <c r="AQ146">
        <v>5312</v>
      </c>
      <c r="AR146" t="s">
        <v>175</v>
      </c>
      <c r="AS146" t="s">
        <v>173</v>
      </c>
    </row>
    <row r="147" spans="1:45" ht="16.5" x14ac:dyDescent="0.35">
      <c r="A147" s="221" t="str">
        <f>CONCATENATE(" ",D67)</f>
        <v xml:space="preserve"> </v>
      </c>
      <c r="B147" s="220"/>
      <c r="C147" s="220"/>
      <c r="D147" s="222"/>
      <c r="E147" s="220"/>
      <c r="F147" s="216">
        <f>IF(G67=0,0,G67)</f>
        <v>0</v>
      </c>
      <c r="G147" s="1"/>
      <c r="AQ147">
        <v>5313</v>
      </c>
      <c r="AR147" t="s">
        <v>176</v>
      </c>
      <c r="AS147" t="s">
        <v>173</v>
      </c>
    </row>
    <row r="148" spans="1:45" ht="16.5" x14ac:dyDescent="0.35">
      <c r="A148" s="221" t="str">
        <f>CONCATENATE(" ",D68)</f>
        <v xml:space="preserve"> </v>
      </c>
      <c r="B148" s="220"/>
      <c r="C148" s="220"/>
      <c r="D148" s="222"/>
      <c r="E148" s="220"/>
      <c r="F148" s="216">
        <f>IF(G68=0,0,G68)</f>
        <v>0</v>
      </c>
      <c r="G148" s="1"/>
      <c r="AQ148">
        <v>5314</v>
      </c>
      <c r="AR148" t="s">
        <v>177</v>
      </c>
      <c r="AS148" t="s">
        <v>173</v>
      </c>
    </row>
    <row r="149" spans="1:45" ht="16.5" x14ac:dyDescent="0.35">
      <c r="A149" s="221" t="str">
        <f>CONCATENATE(" ",D69)</f>
        <v xml:space="preserve"> </v>
      </c>
      <c r="B149" s="178"/>
      <c r="C149" s="178"/>
      <c r="D149" s="217"/>
      <c r="E149" s="217"/>
      <c r="F149" s="216">
        <f>IF(G69=0,0,G69)</f>
        <v>0</v>
      </c>
      <c r="G149" s="1"/>
      <c r="AQ149">
        <v>5315</v>
      </c>
      <c r="AR149" t="s">
        <v>177</v>
      </c>
      <c r="AS149" t="s">
        <v>173</v>
      </c>
    </row>
    <row r="150" spans="1:45" ht="19.899999999999999" customHeight="1" thickBot="1" x14ac:dyDescent="0.35">
      <c r="A150" s="243" t="s">
        <v>320</v>
      </c>
      <c r="B150" s="244"/>
      <c r="C150" s="244"/>
      <c r="D150" s="244"/>
      <c r="E150" s="244"/>
      <c r="F150" s="245">
        <f>IFERROR(MROUND(SUM(F139:F149),0.05),"Freibetrag zu hoch")</f>
        <v>0</v>
      </c>
      <c r="G150" s="1"/>
      <c r="AQ150">
        <v>5318</v>
      </c>
      <c r="AR150" t="s">
        <v>178</v>
      </c>
      <c r="AS150" t="s">
        <v>140</v>
      </c>
    </row>
    <row r="151" spans="1:45" ht="13.15" customHeight="1" x14ac:dyDescent="0.35">
      <c r="A151" s="172"/>
      <c r="B151" s="172"/>
      <c r="C151" s="172"/>
      <c r="D151" s="172"/>
      <c r="E151" s="172"/>
      <c r="F151" s="172"/>
      <c r="G151" s="1"/>
    </row>
    <row r="152" spans="1:45" ht="19.899999999999999" customHeight="1" x14ac:dyDescent="0.3">
      <c r="A152" s="189" t="str">
        <f>IF(E153&gt;0.01,"Fehlbetrag (benötigte Unterstützung)","Überschuss")</f>
        <v>Überschuss</v>
      </c>
      <c r="B152" s="190"/>
      <c r="C152" s="190"/>
      <c r="D152" s="190"/>
      <c r="E152" s="190"/>
      <c r="F152" s="191">
        <f>IF(E153&lt;0,-E153,E153)</f>
        <v>0</v>
      </c>
      <c r="G152" s="1"/>
      <c r="AQ152">
        <v>5323</v>
      </c>
      <c r="AR152" t="s">
        <v>179</v>
      </c>
      <c r="AS152" t="s">
        <v>173</v>
      </c>
    </row>
    <row r="153" spans="1:45" ht="13" customHeight="1" x14ac:dyDescent="0.35">
      <c r="A153" s="178"/>
      <c r="B153" s="178"/>
      <c r="C153" s="172"/>
      <c r="D153" s="172"/>
      <c r="E153" s="192">
        <f>IF((F135-F150)&gt;0,(MROUND((+F135-F150),0.05)),((MROUND((+F135-F150),-0.05))))</f>
        <v>0</v>
      </c>
      <c r="F153" s="172"/>
      <c r="AQ153">
        <v>5324</v>
      </c>
      <c r="AR153" t="s">
        <v>180</v>
      </c>
      <c r="AS153" t="s">
        <v>173</v>
      </c>
    </row>
    <row r="154" spans="1:45" ht="21" customHeight="1" x14ac:dyDescent="0.35">
      <c r="A154" s="171" t="str">
        <f>IF(E153&gt;0,M155,M156)</f>
        <v>Aufgrund dieser Berechnung erhalten Sie für den Monat Januar 2025 keine finanzielle Unterstützung</v>
      </c>
      <c r="B154" s="178"/>
      <c r="C154" s="172"/>
      <c r="D154" s="172"/>
      <c r="E154" s="172"/>
      <c r="F154" s="172"/>
      <c r="O154" s="63"/>
      <c r="P154" s="63"/>
      <c r="Q154" s="63"/>
      <c r="T154" s="63"/>
      <c r="U154" s="63"/>
      <c r="AQ154">
        <v>5325</v>
      </c>
      <c r="AR154" t="s">
        <v>181</v>
      </c>
      <c r="AS154" t="s">
        <v>173</v>
      </c>
    </row>
    <row r="155" spans="1:45" ht="7.5" customHeight="1" x14ac:dyDescent="0.35">
      <c r="A155" s="171"/>
      <c r="B155" s="178"/>
      <c r="C155" s="172"/>
      <c r="D155" s="172"/>
      <c r="E155" s="172"/>
      <c r="F155" s="172"/>
      <c r="M155" s="53" t="str">
        <f>CONCATENATE("Aufgrund dieser Berechnung erhalten Sie für den Monat ",N17," ",O17," finanzielle Unterstützung bestehend aus")</f>
        <v>Aufgrund dieser Berechnung erhalten Sie für den Monat Januar 2025 finanzielle Unterstützung bestehend aus</v>
      </c>
      <c r="N155" s="27" t="s">
        <v>71</v>
      </c>
      <c r="O155" s="63"/>
      <c r="P155" s="63"/>
      <c r="Q155" s="63"/>
      <c r="T155" s="63"/>
      <c r="U155" s="63"/>
    </row>
    <row r="156" spans="1:45" ht="16.5" x14ac:dyDescent="0.35">
      <c r="A156" s="199" t="str">
        <f>IF(F156=0,""," Bargeld-Unterstützung")</f>
        <v/>
      </c>
      <c r="B156" s="200"/>
      <c r="C156" s="199"/>
      <c r="D156" s="199"/>
      <c r="E156" s="202"/>
      <c r="F156" s="201">
        <f>IF(O164&lt;0,0,P158)</f>
        <v>0</v>
      </c>
      <c r="M156" s="53" t="str">
        <f>CONCATENATE("Aufgrund dieser Berechnung erhalten Sie für den Monat ",N17," ",O17," keine finanzielle Unterstützung")</f>
        <v>Aufgrund dieser Berechnung erhalten Sie für den Monat Januar 2025 keine finanzielle Unterstützung</v>
      </c>
      <c r="N156" s="63"/>
      <c r="O156" s="64"/>
      <c r="P156" s="63"/>
      <c r="Q156" s="63"/>
      <c r="T156" s="63"/>
      <c r="U156" s="63"/>
      <c r="AQ156">
        <v>5326</v>
      </c>
      <c r="AR156" t="s">
        <v>182</v>
      </c>
      <c r="AS156" t="s">
        <v>98</v>
      </c>
    </row>
    <row r="157" spans="1:45" ht="16.5" x14ac:dyDescent="0.35">
      <c r="A157" s="172" t="str">
        <f>IF(F157=0,""," Übernahme von Wohnkosten inkl. Nebenkosten / Benutzungsgebühr Unterkunft")</f>
        <v/>
      </c>
      <c r="B157" s="178"/>
      <c r="C157" s="172"/>
      <c r="D157" s="172"/>
      <c r="F157" s="207">
        <f>IF(O164&lt;0,0,Q159)</f>
        <v>0</v>
      </c>
      <c r="L157" s="143" t="s">
        <v>377</v>
      </c>
      <c r="N157" s="63"/>
      <c r="O157" s="65" t="s">
        <v>73</v>
      </c>
      <c r="P157" s="65" t="s">
        <v>68</v>
      </c>
      <c r="Q157" s="65" t="s">
        <v>39</v>
      </c>
      <c r="T157" s="65"/>
      <c r="U157" s="65" t="s">
        <v>72</v>
      </c>
      <c r="AQ157">
        <v>5330</v>
      </c>
      <c r="AR157" t="s">
        <v>183</v>
      </c>
      <c r="AS157" t="s">
        <v>173</v>
      </c>
    </row>
    <row r="158" spans="1:45" ht="16.5" x14ac:dyDescent="0.35">
      <c r="A158" s="199" t="str">
        <f>IF(F158=0,"",(IF(AND(F158&gt;0.01,F158&lt;C41)," Teilweise Übernahme der Krankenkassenprämie"," Übernahme der gesamten Krankenkassenprämie")))</f>
        <v/>
      </c>
      <c r="B158" s="199"/>
      <c r="C158" s="199"/>
      <c r="D158" s="199"/>
      <c r="E158" s="202"/>
      <c r="F158" s="201">
        <f>IF(P160&lt;0,0,(IF(B41=0,(F152-F156),(IF(O164&lt;0,0,P160)))))</f>
        <v>0</v>
      </c>
      <c r="N158" s="66" t="s">
        <v>63</v>
      </c>
      <c r="O158" s="64">
        <f>+F135-F118-F121</f>
        <v>0</v>
      </c>
      <c r="P158" s="64">
        <f>IF(O163&lt;O158,O158-O163,0)</f>
        <v>0</v>
      </c>
      <c r="Q158" s="64"/>
      <c r="T158" s="64"/>
      <c r="U158" s="64"/>
      <c r="Z158" t="s">
        <v>360</v>
      </c>
      <c r="AA158" t="s">
        <v>361</v>
      </c>
      <c r="AB158" t="s">
        <v>362</v>
      </c>
      <c r="AQ158">
        <v>5332</v>
      </c>
      <c r="AR158" t="s">
        <v>282</v>
      </c>
      <c r="AS158" t="s">
        <v>173</v>
      </c>
    </row>
    <row r="159" spans="1:45" ht="23.15" customHeight="1" x14ac:dyDescent="0.35">
      <c r="A159" s="210" t="str">
        <f>IF(F159=0,"","Total Unterstützungsbetrag")</f>
        <v/>
      </c>
      <c r="B159" s="208"/>
      <c r="C159" s="208"/>
      <c r="D159" s="209"/>
      <c r="E159" s="209"/>
      <c r="F159" s="209">
        <f>SUM(F156:F158)</f>
        <v>0</v>
      </c>
      <c r="N159" s="66" t="s">
        <v>64</v>
      </c>
      <c r="O159" s="64">
        <f>F121</f>
        <v>0</v>
      </c>
      <c r="P159" s="64">
        <f>IF(P158&gt;0,O159,(O158+O159-O163))</f>
        <v>0</v>
      </c>
      <c r="Q159" s="64">
        <f>IF(P159&lt;0,0,P159)</f>
        <v>0</v>
      </c>
      <c r="T159" s="64">
        <f>+O159-Q159</f>
        <v>0</v>
      </c>
      <c r="U159" s="64" t="s">
        <v>9</v>
      </c>
      <c r="V159" t="str">
        <f>IF(T159&gt;0.01,"Beteiligung an den Kosten für die Unterbringung / Miete. Die Gemeinde stellt eine Rechnung in der Höhe von Fr. ","")</f>
        <v/>
      </c>
      <c r="W159" s="23" t="str">
        <f>IF(T159&gt;0.01,T159,"")</f>
        <v/>
      </c>
      <c r="X159">
        <f>IF(T159&gt;0.01,1,0)</f>
        <v>0</v>
      </c>
      <c r="Z159" s="131" t="str">
        <f>IF(T159&gt;0.01,(CONCATENATE("Fr. ",(TEXT(T159,"#'##0.00")))),"")</f>
        <v/>
      </c>
      <c r="AA159" s="131" t="str">
        <f>IF(T159&gt;0.01,(CONCATENATE("Fr. ",(TEXT(T159,"###0.00")))),"")</f>
        <v/>
      </c>
      <c r="AB159" t="str">
        <f>IF(T159&gt;999.99,Z159,AA159)</f>
        <v/>
      </c>
      <c r="AQ159">
        <v>5333</v>
      </c>
      <c r="AR159" t="s">
        <v>184</v>
      </c>
      <c r="AS159" t="s">
        <v>173</v>
      </c>
    </row>
    <row r="160" spans="1:45" ht="16.5" hidden="1" x14ac:dyDescent="0.35">
      <c r="A160" s="172"/>
      <c r="B160" s="172"/>
      <c r="C160" s="172"/>
      <c r="D160" s="172"/>
      <c r="E160" s="193"/>
      <c r="F160" s="194" t="s">
        <v>324</v>
      </c>
      <c r="J160" s="141" t="s">
        <v>324</v>
      </c>
      <c r="N160" s="66" t="s">
        <v>65</v>
      </c>
      <c r="O160" s="64">
        <f>F118</f>
        <v>0</v>
      </c>
      <c r="P160" s="64">
        <f>IF(P159&lt;0.01,(O158+O159+O160-O163),O160)</f>
        <v>0</v>
      </c>
      <c r="Q160" s="64">
        <f>IF(P160&lt;0,0,P160)</f>
        <v>0</v>
      </c>
      <c r="T160" s="64">
        <f>IF(P160&lt;0.01,O160,(+O160-P160))</f>
        <v>0</v>
      </c>
      <c r="U160" s="64" t="s">
        <v>70</v>
      </c>
      <c r="V160" t="str">
        <f>IF(T160&gt;0.01,"Beteiligung an den Kosten für die Krankenkassenprämie. Der Kantonale Sozialdienst stellt eine Rechnung in der Höhe von Fr. ","")</f>
        <v/>
      </c>
      <c r="W160" s="23" t="str">
        <f>IF(T160&gt;0.01,T160,"")</f>
        <v/>
      </c>
      <c r="X160">
        <f>IF(T160&gt;0.01,1,0)</f>
        <v>0</v>
      </c>
      <c r="Z160" s="131" t="str">
        <f>IF(T160&gt;0.01,(CONCATENATE("Fr. ",(TEXT(T160,"#'##0.00")))),"")</f>
        <v/>
      </c>
      <c r="AA160" s="131" t="str">
        <f>IF(T160&gt;0.01,(CONCATENATE("Fr. ",(TEXT(T160,"###0.00")))),"")</f>
        <v/>
      </c>
      <c r="AB160" t="str">
        <f>IF(T160&gt;999.99,Z160,AA160)</f>
        <v/>
      </c>
      <c r="AQ160">
        <v>5334</v>
      </c>
      <c r="AR160" t="s">
        <v>185</v>
      </c>
      <c r="AS160" t="s">
        <v>173</v>
      </c>
    </row>
    <row r="161" spans="1:69" ht="16.5" hidden="1" x14ac:dyDescent="0.35">
      <c r="A161" s="172"/>
      <c r="B161" s="172"/>
      <c r="C161" s="172"/>
      <c r="D161" s="172"/>
      <c r="E161" s="172"/>
      <c r="F161" s="194" t="s">
        <v>324</v>
      </c>
      <c r="J161" s="141" t="s">
        <v>324</v>
      </c>
      <c r="N161" s="66" t="s">
        <v>67</v>
      </c>
      <c r="O161" s="64">
        <f>SUM(O158:O160)</f>
        <v>0</v>
      </c>
      <c r="P161" s="64"/>
      <c r="Q161" s="64"/>
      <c r="T161" s="64"/>
      <c r="U161" s="64"/>
      <c r="X161">
        <f>+X160+X159</f>
        <v>0</v>
      </c>
      <c r="AQ161">
        <v>5400</v>
      </c>
      <c r="AR161" t="s">
        <v>186</v>
      </c>
      <c r="AS161" t="s">
        <v>169</v>
      </c>
    </row>
    <row r="162" spans="1:69" ht="16.5" hidden="1" x14ac:dyDescent="0.35">
      <c r="A162" s="172" t="s">
        <v>62</v>
      </c>
      <c r="B162" s="195" t="str">
        <f>IF(E153&lt;0.01,"nicht unterstützt / arbeitet",P167)</f>
        <v>nicht unterstützt / arbeitet</v>
      </c>
      <c r="C162" s="195"/>
      <c r="D162" s="172"/>
      <c r="E162" s="172"/>
      <c r="F162" s="194" t="s">
        <v>324</v>
      </c>
      <c r="J162" s="141" t="s">
        <v>324</v>
      </c>
      <c r="N162" s="63"/>
      <c r="O162" s="64"/>
      <c r="P162" s="64"/>
      <c r="Q162" s="64"/>
      <c r="T162" s="64"/>
      <c r="U162" s="64"/>
      <c r="AQ162">
        <v>5404</v>
      </c>
      <c r="AR162" t="s">
        <v>186</v>
      </c>
      <c r="AS162" t="s">
        <v>169</v>
      </c>
    </row>
    <row r="163" spans="1:69" ht="4.5" hidden="1" customHeight="1" x14ac:dyDescent="0.35">
      <c r="A163" s="172"/>
      <c r="B163" s="172"/>
      <c r="C163" s="172"/>
      <c r="D163" s="172"/>
      <c r="E163" s="172"/>
      <c r="F163" s="194" t="s">
        <v>324</v>
      </c>
      <c r="J163" s="141" t="s">
        <v>324</v>
      </c>
      <c r="N163" s="66" t="s">
        <v>66</v>
      </c>
      <c r="O163" s="64">
        <f>+F150</f>
        <v>0</v>
      </c>
      <c r="P163" s="64"/>
      <c r="Q163" s="64"/>
      <c r="T163" s="64"/>
      <c r="U163" s="64"/>
      <c r="AQ163">
        <v>5405</v>
      </c>
      <c r="AR163" t="s">
        <v>186</v>
      </c>
      <c r="AS163" t="s">
        <v>169</v>
      </c>
    </row>
    <row r="164" spans="1:69" ht="34" customHeight="1" x14ac:dyDescent="0.35">
      <c r="A164" s="196" t="str">
        <f>IF(F156&gt;0.01,"Aufgrund dieser Berechnung beteiligen Sie sich in diesem Monat nicht an den Kosten für Miete und Krankenkasse.",((IF(G8=1,"Aufgrund der Höhe Ihres Einkommens, beträgt Ihre Beteiligung an den monatlichen Kosten:","Aufgrund der Höhe des Einkommens beträgt Ihre Beteiligung an den monatlichen Kosten für:"))))</f>
        <v>Aufgrund der Höhe des Einkommens beträgt Ihre Beteiligung an den monatlichen Kosten für:</v>
      </c>
      <c r="B164" s="172"/>
      <c r="C164" s="172"/>
      <c r="D164" s="172"/>
      <c r="E164" s="172"/>
      <c r="F164" s="174"/>
      <c r="L164" t="s">
        <v>392</v>
      </c>
      <c r="N164" s="66" t="s">
        <v>69</v>
      </c>
      <c r="O164" s="64">
        <f>+O161-O163</f>
        <v>0</v>
      </c>
      <c r="P164" s="64"/>
      <c r="Q164" s="64"/>
      <c r="T164" s="64"/>
      <c r="U164" s="64"/>
      <c r="AQ164">
        <v>5406</v>
      </c>
      <c r="AR164" t="s">
        <v>186</v>
      </c>
      <c r="AS164" t="s">
        <v>169</v>
      </c>
    </row>
    <row r="165" spans="1:69" ht="19.149999999999999" customHeight="1" x14ac:dyDescent="0.35">
      <c r="A165" s="176" t="str">
        <f>IF(T159&gt;0.01," Unterbringung / Miete:","")</f>
        <v/>
      </c>
      <c r="B165" s="259" t="str">
        <f>CONCATENATE(AB159)</f>
        <v/>
      </c>
      <c r="C165" s="176" t="str">
        <f>IF(B85&lt;&gt;"",B85,((IF(T159&gt;0.01,"Die Gemeinde stellt Ihnen eine Rechnung zu.",""))))</f>
        <v/>
      </c>
      <c r="D165" s="176"/>
      <c r="E165" s="176"/>
      <c r="F165" s="246"/>
      <c r="L165" t="s">
        <v>393</v>
      </c>
      <c r="N165" s="63"/>
      <c r="O165" s="64"/>
      <c r="P165" s="64"/>
      <c r="Q165" s="64"/>
      <c r="T165" s="64"/>
      <c r="U165" s="64"/>
      <c r="AQ165">
        <v>5408</v>
      </c>
      <c r="AR165" t="s">
        <v>187</v>
      </c>
      <c r="AS165" t="s">
        <v>169</v>
      </c>
    </row>
    <row r="166" spans="1:69" ht="19.149999999999999" customHeight="1" x14ac:dyDescent="0.35">
      <c r="A166" s="176" t="str">
        <f>IF(T160&gt;0.01," die Krankenkassenprämie:","")</f>
        <v/>
      </c>
      <c r="B166" s="259" t="str">
        <f>CONCATENATE(AB160)</f>
        <v/>
      </c>
      <c r="C166" s="176" t="str">
        <f>IF(T160&gt;0.01,"Der Kantonale Sozialdienst stellt Ihnen eine Rechnung zu.","")</f>
        <v/>
      </c>
      <c r="D166" s="176"/>
      <c r="E166" s="176"/>
      <c r="F166" s="246"/>
      <c r="N166" t="s">
        <v>325</v>
      </c>
      <c r="AQ166">
        <v>5412</v>
      </c>
      <c r="AR166" t="s">
        <v>188</v>
      </c>
      <c r="AS166" t="s">
        <v>169</v>
      </c>
    </row>
    <row r="167" spans="1:69" ht="19.149999999999999" customHeight="1" x14ac:dyDescent="0.35">
      <c r="A167" s="176"/>
      <c r="B167" s="176"/>
      <c r="C167" s="176"/>
      <c r="D167" s="176"/>
      <c r="E167" s="176"/>
      <c r="F167" s="246"/>
      <c r="J167" s="22" t="s">
        <v>324</v>
      </c>
      <c r="O167" t="str">
        <f>IF((P158+P159)&gt;0.01,"teilunterstützt / arbeitet","")</f>
        <v/>
      </c>
      <c r="P167" t="str">
        <f>IF(O167="teilunterstützt / arbeitet","teilunterstützt / arbeitet","nur mit Krankenkasse unterstützt")</f>
        <v>nur mit Krankenkasse unterstützt</v>
      </c>
      <c r="AQ167">
        <v>5413</v>
      </c>
      <c r="AR167" t="s">
        <v>283</v>
      </c>
      <c r="AS167" t="s">
        <v>169</v>
      </c>
      <c r="BQ167" t="s">
        <v>355</v>
      </c>
    </row>
    <row r="168" spans="1:69" ht="19.149999999999999" customHeight="1" x14ac:dyDescent="0.35">
      <c r="A168" s="176"/>
      <c r="B168" s="176"/>
      <c r="C168" s="176" t="str">
        <f>VLOOKUP(X161,T168:U170,2,FALSE)</f>
        <v xml:space="preserve"> </v>
      </c>
      <c r="D168" s="176"/>
      <c r="E168" s="176"/>
      <c r="F168" s="246"/>
      <c r="T168" s="69">
        <v>1</v>
      </c>
      <c r="U168" s="69" t="s">
        <v>341</v>
      </c>
      <c r="AQ168">
        <v>5415</v>
      </c>
      <c r="AR168" t="s">
        <v>189</v>
      </c>
      <c r="AS168" t="s">
        <v>169</v>
      </c>
    </row>
    <row r="169" spans="1:69" ht="27" customHeight="1" x14ac:dyDescent="0.35">
      <c r="A169" s="176" t="str">
        <f>IF(G8=0,"",((IF(E153&lt;0," Der in diesem Monat ausgewiesene Überschuss muss aufgespart werden und wird im Folgemonat den Einnahmen angerechnet.",""))))</f>
        <v/>
      </c>
      <c r="B169" s="176"/>
      <c r="C169" s="247"/>
      <c r="D169" s="176"/>
      <c r="E169" s="176"/>
      <c r="F169" s="246"/>
      <c r="T169" s="69">
        <v>2</v>
      </c>
      <c r="U169" s="69" t="s">
        <v>340</v>
      </c>
    </row>
    <row r="170" spans="1:69" ht="28.5" customHeight="1" x14ac:dyDescent="0.35">
      <c r="A170" s="196" t="s">
        <v>74</v>
      </c>
      <c r="B170" s="172" t="str">
        <f>CONCATENATE(B78)</f>
        <v/>
      </c>
      <c r="C170" s="172"/>
      <c r="D170" s="172"/>
      <c r="E170" s="172"/>
      <c r="F170" s="174"/>
      <c r="T170">
        <v>0</v>
      </c>
      <c r="U170" t="s">
        <v>347</v>
      </c>
      <c r="AQ170">
        <v>5416</v>
      </c>
      <c r="AR170" t="s">
        <v>189</v>
      </c>
      <c r="AS170" t="s">
        <v>169</v>
      </c>
    </row>
    <row r="171" spans="1:69" ht="16.5" x14ac:dyDescent="0.35">
      <c r="A171" s="196"/>
      <c r="B171" s="172" t="str">
        <f>CONCATENATE(B79)</f>
        <v/>
      </c>
      <c r="C171" s="172"/>
      <c r="D171" s="172"/>
      <c r="E171" s="172"/>
      <c r="F171" s="174"/>
      <c r="AQ171">
        <v>5417</v>
      </c>
      <c r="AR171" t="s">
        <v>170</v>
      </c>
      <c r="AS171" t="s">
        <v>169</v>
      </c>
    </row>
    <row r="172" spans="1:69" ht="16.5" x14ac:dyDescent="0.35">
      <c r="A172" s="196"/>
      <c r="B172" s="172" t="str">
        <f>CONCATENATE(B80)</f>
        <v/>
      </c>
      <c r="C172" s="172"/>
      <c r="D172" s="172"/>
      <c r="E172" s="172"/>
      <c r="F172" s="174"/>
      <c r="AQ172">
        <v>5420</v>
      </c>
      <c r="AR172" t="s">
        <v>190</v>
      </c>
      <c r="AS172" t="s">
        <v>169</v>
      </c>
    </row>
    <row r="173" spans="1:69" ht="16.5" x14ac:dyDescent="0.35">
      <c r="A173" s="196"/>
      <c r="B173" s="172"/>
      <c r="C173" s="172"/>
      <c r="D173" s="172"/>
      <c r="E173" s="172"/>
      <c r="F173" s="174"/>
      <c r="AQ173">
        <v>5423</v>
      </c>
      <c r="AR173" t="s">
        <v>191</v>
      </c>
      <c r="AS173" t="s">
        <v>169</v>
      </c>
    </row>
    <row r="174" spans="1:69" ht="16.5" x14ac:dyDescent="0.35">
      <c r="A174" s="196" t="s">
        <v>391</v>
      </c>
      <c r="B174" s="326" t="str">
        <f>CONCATENATE(B87)</f>
        <v>Sozialdienst, Gemeinde, Kontaktperson, Telefon / E-Mail</v>
      </c>
      <c r="C174" s="326"/>
      <c r="D174" s="326"/>
      <c r="E174" s="326"/>
      <c r="F174" s="326"/>
      <c r="M174" t="s">
        <v>358</v>
      </c>
      <c r="AQ174">
        <v>5425</v>
      </c>
      <c r="AR174" t="s">
        <v>192</v>
      </c>
      <c r="AS174" t="s">
        <v>173</v>
      </c>
    </row>
    <row r="175" spans="1:69" ht="16.5" hidden="1" x14ac:dyDescent="0.35">
      <c r="A175" s="196"/>
      <c r="B175" s="172"/>
      <c r="C175" s="172"/>
      <c r="D175" s="172"/>
      <c r="E175" s="172"/>
      <c r="F175" s="174"/>
      <c r="M175" t="s">
        <v>359</v>
      </c>
      <c r="AQ175">
        <v>5426</v>
      </c>
      <c r="AR175" t="s">
        <v>284</v>
      </c>
      <c r="AS175" t="s">
        <v>173</v>
      </c>
    </row>
    <row r="176" spans="1:69" ht="16.5" x14ac:dyDescent="0.35">
      <c r="A176" s="196"/>
      <c r="B176" s="172"/>
      <c r="C176" s="172"/>
      <c r="D176" s="172"/>
      <c r="E176" s="172"/>
      <c r="F176" s="174"/>
      <c r="M176" s="143" t="s">
        <v>366</v>
      </c>
      <c r="AQ176">
        <v>5430</v>
      </c>
      <c r="AR176" t="s">
        <v>193</v>
      </c>
      <c r="AS176" t="s">
        <v>169</v>
      </c>
    </row>
    <row r="177" spans="1:45" ht="16.5" hidden="1" x14ac:dyDescent="0.35">
      <c r="A177" s="196"/>
      <c r="B177" s="172"/>
      <c r="C177" s="172"/>
      <c r="D177" s="172"/>
      <c r="E177" s="172"/>
      <c r="F177" s="174"/>
      <c r="AQ177">
        <v>5432</v>
      </c>
      <c r="AR177" t="s">
        <v>194</v>
      </c>
      <c r="AS177" t="s">
        <v>169</v>
      </c>
    </row>
    <row r="178" spans="1:45" ht="16.5" hidden="1" x14ac:dyDescent="0.35">
      <c r="A178" s="196"/>
      <c r="B178" s="172"/>
      <c r="C178" s="172"/>
      <c r="D178" s="172"/>
      <c r="E178" s="172"/>
      <c r="F178" s="174"/>
      <c r="AQ178">
        <v>5436</v>
      </c>
      <c r="AR178" t="s">
        <v>195</v>
      </c>
      <c r="AS178" t="s">
        <v>169</v>
      </c>
    </row>
    <row r="179" spans="1:45" ht="16.5" x14ac:dyDescent="0.35">
      <c r="A179" s="196" t="s">
        <v>378</v>
      </c>
      <c r="B179" s="197">
        <f>F19</f>
        <v>45658</v>
      </c>
      <c r="C179" s="172"/>
      <c r="D179" s="172"/>
      <c r="E179" s="172"/>
      <c r="F179" s="174"/>
      <c r="AQ179">
        <v>5442</v>
      </c>
      <c r="AR179" t="s">
        <v>196</v>
      </c>
      <c r="AS179" t="s">
        <v>169</v>
      </c>
    </row>
    <row r="180" spans="1:45" ht="16.5" x14ac:dyDescent="0.35">
      <c r="A180" s="196"/>
      <c r="B180" s="172"/>
      <c r="C180" s="172"/>
      <c r="D180" s="172"/>
      <c r="E180" s="172"/>
      <c r="F180" s="174"/>
      <c r="AQ180">
        <v>5443</v>
      </c>
      <c r="AR180" t="s">
        <v>197</v>
      </c>
      <c r="AS180" t="s">
        <v>169</v>
      </c>
    </row>
    <row r="181" spans="1:45" ht="16.5" x14ac:dyDescent="0.35">
      <c r="A181" s="172"/>
      <c r="B181" s="172"/>
      <c r="C181" s="172"/>
      <c r="D181" s="172"/>
      <c r="E181" s="172"/>
      <c r="F181" s="174"/>
    </row>
    <row r="182" spans="1:45" ht="48.65" customHeight="1" x14ac:dyDescent="0.3">
      <c r="O182" s="23"/>
    </row>
    <row r="183" spans="1:45" ht="14.5" hidden="1" x14ac:dyDescent="0.35">
      <c r="A183" s="85"/>
      <c r="E183" s="164"/>
      <c r="H183" s="69" t="s">
        <v>303</v>
      </c>
      <c r="J183" s="69"/>
      <c r="K183" s="69"/>
      <c r="L183" s="69"/>
      <c r="N183" s="53" t="s">
        <v>304</v>
      </c>
      <c r="O183" s="53"/>
      <c r="P183" s="53"/>
    </row>
    <row r="184" spans="1:45" hidden="1" x14ac:dyDescent="0.3">
      <c r="A184" s="87" t="s">
        <v>299</v>
      </c>
      <c r="C184" s="61" t="s">
        <v>302</v>
      </c>
      <c r="D184" s="61"/>
      <c r="E184" s="88" t="e">
        <f>#REF!</f>
        <v>#REF!</v>
      </c>
      <c r="N184" s="53"/>
      <c r="O184" s="53"/>
      <c r="P184" s="53"/>
    </row>
    <row r="185" spans="1:45" hidden="1" x14ac:dyDescent="0.3">
      <c r="A185" s="85" t="str">
        <f t="shared" ref="A185:A192" si="41">IF(O185&gt;0.01,N185,"")</f>
        <v xml:space="preserve"> </v>
      </c>
      <c r="B185" s="79" t="str">
        <f t="shared" ref="B185:B192" si="42">IF(P185="ja",O185,0)</f>
        <v/>
      </c>
      <c r="E185" s="89">
        <f>SUM(O185:O192)</f>
        <v>0</v>
      </c>
      <c r="N185" s="53" t="str">
        <f t="shared" ref="N185:N192" si="43">CONCATENATE(A8," ",B8)</f>
        <v xml:space="preserve"> </v>
      </c>
      <c r="O185" s="83" t="str">
        <f>IFERROR((D106+E106+($M$16*7.5)+($M$16*9)+C29),"")</f>
        <v/>
      </c>
      <c r="P185" s="53" t="str">
        <f t="shared" ref="P185:P192" si="44">IF(F8&gt;17,"ja","nein")</f>
        <v>ja</v>
      </c>
      <c r="AQ185">
        <v>5444</v>
      </c>
      <c r="AR185" t="s">
        <v>198</v>
      </c>
      <c r="AS185" t="s">
        <v>169</v>
      </c>
    </row>
    <row r="186" spans="1:45" hidden="1" x14ac:dyDescent="0.3">
      <c r="A186" s="85" t="str">
        <f t="shared" si="41"/>
        <v xml:space="preserve"> </v>
      </c>
      <c r="B186" s="79" t="str">
        <f t="shared" si="42"/>
        <v/>
      </c>
      <c r="E186" s="90"/>
      <c r="G186" t="s">
        <v>335</v>
      </c>
      <c r="N186" s="53" t="str">
        <f t="shared" si="43"/>
        <v xml:space="preserve"> </v>
      </c>
      <c r="O186" s="83" t="str">
        <f>IFERROR((D107+E107+($M$16*7.5)+($M$16*9)+C30),"")</f>
        <v/>
      </c>
      <c r="P186" s="53" t="str">
        <f t="shared" si="44"/>
        <v>ja</v>
      </c>
      <c r="AQ186">
        <v>5453</v>
      </c>
      <c r="AR186" t="s">
        <v>200</v>
      </c>
      <c r="AS186" t="s">
        <v>169</v>
      </c>
    </row>
    <row r="187" spans="1:45" hidden="1" x14ac:dyDescent="0.3">
      <c r="A187" s="85" t="str">
        <f t="shared" si="41"/>
        <v xml:space="preserve"> </v>
      </c>
      <c r="B187" s="79" t="str">
        <f t="shared" si="42"/>
        <v/>
      </c>
      <c r="C187" s="61" t="s">
        <v>300</v>
      </c>
      <c r="D187" s="61"/>
      <c r="E187" s="91"/>
      <c r="G187" t="s">
        <v>336</v>
      </c>
      <c r="N187" s="53" t="str">
        <f t="shared" si="43"/>
        <v xml:space="preserve"> </v>
      </c>
      <c r="O187" s="83" t="str">
        <f>IFERROR((D108+E108+($M$16*7.5)+($M$16*9)+C31),"")</f>
        <v/>
      </c>
      <c r="P187" s="53" t="str">
        <f t="shared" si="44"/>
        <v>ja</v>
      </c>
      <c r="AQ187">
        <v>5454</v>
      </c>
      <c r="AR187" t="s">
        <v>201</v>
      </c>
      <c r="AS187" t="s">
        <v>169</v>
      </c>
    </row>
    <row r="188" spans="1:45" hidden="1" x14ac:dyDescent="0.3">
      <c r="A188" s="85" t="str">
        <f t="shared" si="41"/>
        <v xml:space="preserve"> </v>
      </c>
      <c r="B188" s="79" t="str">
        <f t="shared" si="42"/>
        <v/>
      </c>
      <c r="C188" t="s">
        <v>305</v>
      </c>
      <c r="E188" s="92">
        <f>SUM(B185:B195)</f>
        <v>0</v>
      </c>
      <c r="G188" t="s">
        <v>337</v>
      </c>
      <c r="N188" s="53" t="str">
        <f t="shared" si="43"/>
        <v xml:space="preserve"> </v>
      </c>
      <c r="O188" s="83" t="str">
        <f>IFERROR((D109+E109+($M$16*7.5)+($M$16*9)+C32),"")</f>
        <v/>
      </c>
      <c r="P188" s="53" t="str">
        <f t="shared" si="44"/>
        <v>ja</v>
      </c>
      <c r="AQ188">
        <v>5462</v>
      </c>
      <c r="AR188" t="s">
        <v>202</v>
      </c>
      <c r="AS188" t="s">
        <v>173</v>
      </c>
    </row>
    <row r="189" spans="1:45" hidden="1" x14ac:dyDescent="0.3">
      <c r="A189" s="85" t="str">
        <f t="shared" si="41"/>
        <v xml:space="preserve"> </v>
      </c>
      <c r="B189" s="79" t="str">
        <f t="shared" si="42"/>
        <v/>
      </c>
      <c r="E189" s="90"/>
      <c r="N189" s="53" t="str">
        <f t="shared" si="43"/>
        <v xml:space="preserve"> </v>
      </c>
      <c r="O189" s="83" t="str">
        <f>IFERROR((D110+E110+($M$16*7.5)+($M$16*9)+C33),"")</f>
        <v/>
      </c>
      <c r="P189" s="53" t="str">
        <f t="shared" si="44"/>
        <v>ja</v>
      </c>
      <c r="AQ189">
        <v>5463</v>
      </c>
      <c r="AR189" t="s">
        <v>203</v>
      </c>
      <c r="AS189" t="s">
        <v>173</v>
      </c>
    </row>
    <row r="190" spans="1:45" hidden="1" x14ac:dyDescent="0.3">
      <c r="A190" s="85" t="str">
        <f t="shared" si="41"/>
        <v xml:space="preserve"> </v>
      </c>
      <c r="B190" s="79" t="str">
        <f t="shared" si="42"/>
        <v/>
      </c>
      <c r="C190" s="61" t="s">
        <v>312</v>
      </c>
      <c r="D190" s="61"/>
      <c r="E190" s="91"/>
      <c r="N190" s="53" t="str">
        <f t="shared" si="43"/>
        <v xml:space="preserve"> </v>
      </c>
      <c r="O190" s="83" t="str">
        <f>IFERROR((D111+E111+($M$16*7.5)+($M$16*9)+C38),"")</f>
        <v/>
      </c>
      <c r="P190" s="53" t="str">
        <f t="shared" si="44"/>
        <v>ja</v>
      </c>
      <c r="AQ190">
        <v>5464</v>
      </c>
      <c r="AR190" t="s">
        <v>204</v>
      </c>
      <c r="AS190" t="s">
        <v>173</v>
      </c>
    </row>
    <row r="191" spans="1:45" hidden="1" x14ac:dyDescent="0.3">
      <c r="A191" s="85" t="str">
        <f t="shared" si="41"/>
        <v xml:space="preserve"> </v>
      </c>
      <c r="B191" s="79" t="str">
        <f t="shared" si="42"/>
        <v/>
      </c>
      <c r="E191" s="92">
        <f>-F150</f>
        <v>0</v>
      </c>
      <c r="N191" s="53" t="str">
        <f t="shared" si="43"/>
        <v xml:space="preserve"> </v>
      </c>
      <c r="O191" s="83" t="str">
        <f>IFERROR((D112+E112+($M$16*7.5)+($M$16*9)+C39),"")</f>
        <v/>
      </c>
      <c r="P191" s="53" t="str">
        <f t="shared" si="44"/>
        <v>ja</v>
      </c>
      <c r="AQ191">
        <v>5465</v>
      </c>
      <c r="AR191" t="s">
        <v>205</v>
      </c>
      <c r="AS191" t="s">
        <v>173</v>
      </c>
    </row>
    <row r="192" spans="1:45" hidden="1" x14ac:dyDescent="0.3">
      <c r="A192" s="85" t="str">
        <f t="shared" si="41"/>
        <v xml:space="preserve"> </v>
      </c>
      <c r="B192" s="79" t="str">
        <f t="shared" si="42"/>
        <v/>
      </c>
      <c r="E192" s="90"/>
      <c r="N192" s="53" t="str">
        <f t="shared" si="43"/>
        <v xml:space="preserve"> </v>
      </c>
      <c r="O192" s="83" t="str">
        <f>IFERROR((D113+E113+($M$16*7.5)+($M$16*9)+C40),"")</f>
        <v/>
      </c>
      <c r="P192" s="53" t="str">
        <f t="shared" si="44"/>
        <v>ja</v>
      </c>
      <c r="AQ192">
        <v>5466</v>
      </c>
      <c r="AR192" t="s">
        <v>206</v>
      </c>
      <c r="AS192" t="s">
        <v>173</v>
      </c>
    </row>
    <row r="193" spans="1:45" ht="14.5" hidden="1" x14ac:dyDescent="0.35">
      <c r="A193" s="84"/>
      <c r="B193" s="79"/>
      <c r="C193" s="61" t="s">
        <v>313</v>
      </c>
      <c r="D193" s="61"/>
      <c r="E193" s="91"/>
      <c r="AQ193">
        <v>5467</v>
      </c>
      <c r="AR193" t="s">
        <v>207</v>
      </c>
      <c r="AS193" t="s">
        <v>173</v>
      </c>
    </row>
    <row r="194" spans="1:45" ht="14.5" hidden="1" x14ac:dyDescent="0.35">
      <c r="A194" s="93"/>
      <c r="B194" s="94"/>
      <c r="C194" s="86"/>
      <c r="D194" s="86"/>
      <c r="E194" s="95">
        <f>IF(-E191&gt;E188,0,+E191+E188)</f>
        <v>0</v>
      </c>
      <c r="AQ194">
        <v>5502</v>
      </c>
      <c r="AR194" t="s">
        <v>208</v>
      </c>
      <c r="AS194" t="s">
        <v>147</v>
      </c>
    </row>
    <row r="195" spans="1:45" hidden="1" x14ac:dyDescent="0.3">
      <c r="F195"/>
      <c r="AQ195">
        <v>5503</v>
      </c>
      <c r="AR195" t="s">
        <v>209</v>
      </c>
      <c r="AS195" t="s">
        <v>147</v>
      </c>
    </row>
    <row r="196" spans="1:45" ht="14.5" hidden="1" x14ac:dyDescent="0.35">
      <c r="A196" s="28" t="s">
        <v>314</v>
      </c>
      <c r="AQ196">
        <v>5504</v>
      </c>
      <c r="AR196" t="s">
        <v>210</v>
      </c>
      <c r="AS196" t="s">
        <v>147</v>
      </c>
    </row>
    <row r="197" spans="1:45" ht="14.5" hidden="1" x14ac:dyDescent="0.35">
      <c r="A197" s="28" t="s">
        <v>315</v>
      </c>
      <c r="AQ197">
        <v>5505</v>
      </c>
      <c r="AR197" t="s">
        <v>211</v>
      </c>
      <c r="AS197" t="s">
        <v>147</v>
      </c>
    </row>
    <row r="198" spans="1:45" ht="14.5" hidden="1" x14ac:dyDescent="0.35">
      <c r="A198" s="28" t="s">
        <v>344</v>
      </c>
      <c r="AQ198">
        <v>5506</v>
      </c>
      <c r="AR198" t="s">
        <v>212</v>
      </c>
      <c r="AS198" t="s">
        <v>169</v>
      </c>
    </row>
    <row r="199" spans="1:45" ht="14.5" hidden="1" x14ac:dyDescent="0.35">
      <c r="A199" s="69" t="s">
        <v>345</v>
      </c>
      <c r="AQ199">
        <v>5507</v>
      </c>
      <c r="AR199" t="s">
        <v>213</v>
      </c>
      <c r="AS199" t="s">
        <v>169</v>
      </c>
    </row>
    <row r="200" spans="1:45" hidden="1" x14ac:dyDescent="0.3">
      <c r="AQ200">
        <v>5512</v>
      </c>
      <c r="AR200" t="s">
        <v>214</v>
      </c>
      <c r="AS200" t="s">
        <v>169</v>
      </c>
    </row>
    <row r="201" spans="1:45" hidden="1" x14ac:dyDescent="0.3">
      <c r="AQ201">
        <v>5522</v>
      </c>
      <c r="AR201" t="s">
        <v>215</v>
      </c>
      <c r="AS201" t="s">
        <v>199</v>
      </c>
    </row>
    <row r="202" spans="1:45" hidden="1" x14ac:dyDescent="0.3">
      <c r="AQ202">
        <v>5524</v>
      </c>
      <c r="AR202" t="s">
        <v>285</v>
      </c>
      <c r="AS202" t="s">
        <v>199</v>
      </c>
    </row>
    <row r="203" spans="1:45" hidden="1" x14ac:dyDescent="0.3">
      <c r="AQ203">
        <v>5525</v>
      </c>
      <c r="AR203" t="s">
        <v>80</v>
      </c>
      <c r="AS203" t="s">
        <v>199</v>
      </c>
    </row>
    <row r="204" spans="1:45" hidden="1" x14ac:dyDescent="0.3">
      <c r="AQ204">
        <v>5600</v>
      </c>
      <c r="AR204" t="s">
        <v>216</v>
      </c>
      <c r="AS204" t="s">
        <v>147</v>
      </c>
    </row>
    <row r="205" spans="1:45" hidden="1" x14ac:dyDescent="0.3">
      <c r="AQ205">
        <v>5603</v>
      </c>
      <c r="AR205" t="s">
        <v>217</v>
      </c>
      <c r="AS205" t="s">
        <v>147</v>
      </c>
    </row>
    <row r="206" spans="1:45" x14ac:dyDescent="0.3">
      <c r="AQ206">
        <v>5604</v>
      </c>
      <c r="AR206" t="s">
        <v>218</v>
      </c>
      <c r="AS206" t="s">
        <v>147</v>
      </c>
    </row>
    <row r="207" spans="1:45" x14ac:dyDescent="0.3">
      <c r="AQ207">
        <v>5605</v>
      </c>
      <c r="AR207" t="s">
        <v>219</v>
      </c>
      <c r="AS207" t="s">
        <v>199</v>
      </c>
    </row>
    <row r="208" spans="1:45" x14ac:dyDescent="0.3">
      <c r="AQ208">
        <v>5606</v>
      </c>
      <c r="AR208" t="s">
        <v>220</v>
      </c>
      <c r="AS208" t="s">
        <v>147</v>
      </c>
    </row>
    <row r="209" spans="43:45" x14ac:dyDescent="0.3">
      <c r="AQ209">
        <v>5607</v>
      </c>
      <c r="AR209" t="s">
        <v>221</v>
      </c>
      <c r="AS209" t="s">
        <v>199</v>
      </c>
    </row>
    <row r="210" spans="43:45" x14ac:dyDescent="0.3">
      <c r="AQ210">
        <v>5608</v>
      </c>
      <c r="AR210" t="s">
        <v>286</v>
      </c>
      <c r="AS210" t="s">
        <v>169</v>
      </c>
    </row>
    <row r="211" spans="43:45" x14ac:dyDescent="0.3">
      <c r="AQ211">
        <v>5610</v>
      </c>
      <c r="AR211" t="s">
        <v>287</v>
      </c>
      <c r="AS211" t="s">
        <v>199</v>
      </c>
    </row>
    <row r="212" spans="43:45" x14ac:dyDescent="0.3">
      <c r="AQ212">
        <v>5611</v>
      </c>
      <c r="AR212" t="s">
        <v>287</v>
      </c>
      <c r="AS212" t="s">
        <v>199</v>
      </c>
    </row>
    <row r="213" spans="43:45" x14ac:dyDescent="0.3">
      <c r="AQ213">
        <v>5612</v>
      </c>
      <c r="AR213" t="s">
        <v>222</v>
      </c>
      <c r="AS213" t="s">
        <v>199</v>
      </c>
    </row>
    <row r="214" spans="43:45" x14ac:dyDescent="0.3">
      <c r="AQ214">
        <v>5613</v>
      </c>
      <c r="AR214" t="s">
        <v>222</v>
      </c>
      <c r="AS214" t="s">
        <v>199</v>
      </c>
    </row>
    <row r="215" spans="43:45" x14ac:dyDescent="0.3">
      <c r="AQ215">
        <v>5614</v>
      </c>
      <c r="AR215" t="s">
        <v>223</v>
      </c>
      <c r="AS215" t="s">
        <v>199</v>
      </c>
    </row>
    <row r="216" spans="43:45" x14ac:dyDescent="0.3">
      <c r="AQ216">
        <v>5615</v>
      </c>
      <c r="AR216" t="s">
        <v>224</v>
      </c>
      <c r="AS216" t="s">
        <v>147</v>
      </c>
    </row>
    <row r="217" spans="43:45" x14ac:dyDescent="0.3">
      <c r="AQ217">
        <v>5616</v>
      </c>
      <c r="AR217" t="s">
        <v>225</v>
      </c>
      <c r="AS217" t="s">
        <v>147</v>
      </c>
    </row>
    <row r="218" spans="43:45" x14ac:dyDescent="0.3">
      <c r="AQ218">
        <v>5617</v>
      </c>
      <c r="AR218" t="s">
        <v>225</v>
      </c>
      <c r="AS218" t="s">
        <v>147</v>
      </c>
    </row>
    <row r="219" spans="43:45" x14ac:dyDescent="0.3">
      <c r="AQ219">
        <v>5618</v>
      </c>
      <c r="AR219" t="s">
        <v>226</v>
      </c>
      <c r="AS219" t="s">
        <v>227</v>
      </c>
    </row>
    <row r="220" spans="43:45" x14ac:dyDescent="0.3">
      <c r="AQ220">
        <v>5619</v>
      </c>
      <c r="AR220" t="s">
        <v>228</v>
      </c>
      <c r="AS220" t="s">
        <v>199</v>
      </c>
    </row>
    <row r="221" spans="43:45" x14ac:dyDescent="0.3">
      <c r="AQ221">
        <v>5620</v>
      </c>
      <c r="AR221" t="s">
        <v>288</v>
      </c>
      <c r="AS221" t="s">
        <v>199</v>
      </c>
    </row>
    <row r="222" spans="43:45" x14ac:dyDescent="0.3">
      <c r="AQ222">
        <v>5621</v>
      </c>
      <c r="AR222" t="s">
        <v>229</v>
      </c>
      <c r="AS222" t="s">
        <v>199</v>
      </c>
    </row>
    <row r="223" spans="43:45" x14ac:dyDescent="0.3">
      <c r="AQ223">
        <v>5622</v>
      </c>
      <c r="AR223" t="s">
        <v>230</v>
      </c>
      <c r="AS223" t="s">
        <v>227</v>
      </c>
    </row>
    <row r="224" spans="43:45" x14ac:dyDescent="0.3">
      <c r="AQ224">
        <v>5623</v>
      </c>
      <c r="AR224" t="s">
        <v>231</v>
      </c>
      <c r="AS224" t="s">
        <v>227</v>
      </c>
    </row>
    <row r="225" spans="43:45" x14ac:dyDescent="0.3">
      <c r="AQ225">
        <v>5624</v>
      </c>
      <c r="AR225" t="s">
        <v>232</v>
      </c>
      <c r="AS225" t="s">
        <v>227</v>
      </c>
    </row>
    <row r="226" spans="43:45" x14ac:dyDescent="0.3">
      <c r="AQ226">
        <v>5625</v>
      </c>
      <c r="AR226" t="s">
        <v>233</v>
      </c>
      <c r="AS226" t="s">
        <v>227</v>
      </c>
    </row>
    <row r="227" spans="43:45" x14ac:dyDescent="0.3">
      <c r="AQ227">
        <v>5626</v>
      </c>
      <c r="AR227" t="s">
        <v>288</v>
      </c>
      <c r="AS227" t="s">
        <v>199</v>
      </c>
    </row>
    <row r="228" spans="43:45" x14ac:dyDescent="0.3">
      <c r="AQ228">
        <v>5627</v>
      </c>
      <c r="AR228" t="s">
        <v>234</v>
      </c>
      <c r="AS228" t="s">
        <v>227</v>
      </c>
    </row>
    <row r="229" spans="43:45" x14ac:dyDescent="0.3">
      <c r="AQ229">
        <v>5628</v>
      </c>
      <c r="AR229" t="s">
        <v>235</v>
      </c>
      <c r="AS229" t="s">
        <v>227</v>
      </c>
    </row>
    <row r="230" spans="43:45" x14ac:dyDescent="0.3">
      <c r="AQ230">
        <v>5630</v>
      </c>
      <c r="AR230" t="s">
        <v>289</v>
      </c>
      <c r="AS230" t="s">
        <v>227</v>
      </c>
    </row>
    <row r="231" spans="43:45" x14ac:dyDescent="0.3">
      <c r="AQ231">
        <v>5632</v>
      </c>
      <c r="AR231" t="s">
        <v>236</v>
      </c>
      <c r="AS231" t="s">
        <v>227</v>
      </c>
    </row>
    <row r="232" spans="43:45" x14ac:dyDescent="0.3">
      <c r="AQ232">
        <v>5634</v>
      </c>
      <c r="AR232" t="s">
        <v>237</v>
      </c>
      <c r="AS232" t="s">
        <v>227</v>
      </c>
    </row>
    <row r="233" spans="43:45" x14ac:dyDescent="0.3">
      <c r="AQ233">
        <v>5636</v>
      </c>
      <c r="AR233" t="s">
        <v>237</v>
      </c>
      <c r="AS233" t="s">
        <v>227</v>
      </c>
    </row>
    <row r="234" spans="43:45" x14ac:dyDescent="0.3">
      <c r="AQ234">
        <v>5637</v>
      </c>
      <c r="AR234" t="s">
        <v>238</v>
      </c>
      <c r="AS234" t="s">
        <v>227</v>
      </c>
    </row>
    <row r="235" spans="43:45" x14ac:dyDescent="0.3">
      <c r="AQ235">
        <v>5642</v>
      </c>
      <c r="AR235" t="s">
        <v>239</v>
      </c>
      <c r="AS235" t="s">
        <v>227</v>
      </c>
    </row>
    <row r="236" spans="43:45" x14ac:dyDescent="0.3">
      <c r="AQ236">
        <v>5643</v>
      </c>
      <c r="AR236" t="s">
        <v>240</v>
      </c>
      <c r="AS236" t="s">
        <v>227</v>
      </c>
    </row>
    <row r="237" spans="43:45" x14ac:dyDescent="0.3">
      <c r="AQ237">
        <v>5644</v>
      </c>
      <c r="AR237" t="s">
        <v>241</v>
      </c>
      <c r="AS237" t="s">
        <v>227</v>
      </c>
    </row>
    <row r="238" spans="43:45" x14ac:dyDescent="0.3">
      <c r="AQ238">
        <v>5645</v>
      </c>
      <c r="AR238" t="s">
        <v>240</v>
      </c>
      <c r="AS238" t="s">
        <v>227</v>
      </c>
    </row>
    <row r="239" spans="43:45" x14ac:dyDescent="0.3">
      <c r="AQ239">
        <v>5646</v>
      </c>
      <c r="AR239" t="s">
        <v>242</v>
      </c>
      <c r="AS239" t="s">
        <v>227</v>
      </c>
    </row>
    <row r="240" spans="43:45" x14ac:dyDescent="0.3">
      <c r="AQ240">
        <v>5647</v>
      </c>
      <c r="AR240" t="s">
        <v>243</v>
      </c>
      <c r="AS240" t="s">
        <v>227</v>
      </c>
    </row>
    <row r="241" spans="43:45" x14ac:dyDescent="0.3">
      <c r="AQ241">
        <v>5702</v>
      </c>
      <c r="AR241" t="s">
        <v>244</v>
      </c>
      <c r="AS241" t="s">
        <v>147</v>
      </c>
    </row>
    <row r="242" spans="43:45" x14ac:dyDescent="0.3">
      <c r="AQ242">
        <v>5703</v>
      </c>
      <c r="AR242" t="s">
        <v>245</v>
      </c>
      <c r="AS242" t="s">
        <v>147</v>
      </c>
    </row>
    <row r="243" spans="43:45" x14ac:dyDescent="0.3">
      <c r="AQ243">
        <v>5704</v>
      </c>
      <c r="AR243" t="s">
        <v>246</v>
      </c>
      <c r="AS243" t="s">
        <v>147</v>
      </c>
    </row>
    <row r="244" spans="43:45" x14ac:dyDescent="0.3">
      <c r="AQ244">
        <v>5705</v>
      </c>
      <c r="AR244" t="s">
        <v>247</v>
      </c>
      <c r="AS244" t="s">
        <v>147</v>
      </c>
    </row>
    <row r="245" spans="43:45" x14ac:dyDescent="0.3">
      <c r="AQ245">
        <v>5706</v>
      </c>
      <c r="AR245" t="s">
        <v>248</v>
      </c>
      <c r="AS245" t="s">
        <v>147</v>
      </c>
    </row>
    <row r="246" spans="43:45" x14ac:dyDescent="0.3">
      <c r="AQ246">
        <v>5707</v>
      </c>
      <c r="AR246" t="s">
        <v>249</v>
      </c>
      <c r="AS246" t="s">
        <v>147</v>
      </c>
    </row>
    <row r="247" spans="43:45" x14ac:dyDescent="0.3">
      <c r="AQ247">
        <v>5708</v>
      </c>
      <c r="AR247" t="s">
        <v>250</v>
      </c>
      <c r="AS247" t="s">
        <v>123</v>
      </c>
    </row>
    <row r="248" spans="43:45" x14ac:dyDescent="0.3">
      <c r="AQ248">
        <v>5712</v>
      </c>
      <c r="AR248" t="s">
        <v>251</v>
      </c>
      <c r="AS248" t="s">
        <v>123</v>
      </c>
    </row>
    <row r="249" spans="43:45" x14ac:dyDescent="0.3">
      <c r="AQ249">
        <v>5722</v>
      </c>
      <c r="AR249" t="s">
        <v>252</v>
      </c>
      <c r="AS249" t="s">
        <v>112</v>
      </c>
    </row>
    <row r="250" spans="43:45" x14ac:dyDescent="0.3">
      <c r="AQ250">
        <v>5723</v>
      </c>
      <c r="AR250" t="s">
        <v>290</v>
      </c>
      <c r="AS250" t="s">
        <v>123</v>
      </c>
    </row>
    <row r="251" spans="43:45" x14ac:dyDescent="0.3">
      <c r="AQ251">
        <v>5724</v>
      </c>
      <c r="AR251" t="s">
        <v>253</v>
      </c>
      <c r="AS251" t="s">
        <v>123</v>
      </c>
    </row>
    <row r="252" spans="43:45" x14ac:dyDescent="0.3">
      <c r="AQ252">
        <v>5725</v>
      </c>
      <c r="AR252" t="s">
        <v>254</v>
      </c>
      <c r="AS252" t="s">
        <v>123</v>
      </c>
    </row>
    <row r="253" spans="43:45" x14ac:dyDescent="0.3">
      <c r="AQ253">
        <v>5726</v>
      </c>
      <c r="AR253" t="s">
        <v>255</v>
      </c>
      <c r="AS253" t="s">
        <v>123</v>
      </c>
    </row>
    <row r="254" spans="43:45" x14ac:dyDescent="0.3">
      <c r="AQ254">
        <v>5727</v>
      </c>
      <c r="AR254" t="s">
        <v>256</v>
      </c>
      <c r="AS254" t="s">
        <v>123</v>
      </c>
    </row>
    <row r="255" spans="43:45" x14ac:dyDescent="0.3">
      <c r="AQ255">
        <v>5728</v>
      </c>
      <c r="AR255" t="s">
        <v>257</v>
      </c>
      <c r="AS255" t="s">
        <v>123</v>
      </c>
    </row>
    <row r="256" spans="43:45" x14ac:dyDescent="0.3">
      <c r="AQ256">
        <v>5732</v>
      </c>
      <c r="AR256" t="s">
        <v>258</v>
      </c>
      <c r="AS256" t="s">
        <v>123</v>
      </c>
    </row>
    <row r="257" spans="43:45" x14ac:dyDescent="0.3">
      <c r="AQ257">
        <v>5733</v>
      </c>
      <c r="AR257" t="s">
        <v>291</v>
      </c>
      <c r="AS257" t="s">
        <v>123</v>
      </c>
    </row>
    <row r="258" spans="43:45" x14ac:dyDescent="0.3">
      <c r="AQ258">
        <v>5734</v>
      </c>
      <c r="AR258" t="s">
        <v>292</v>
      </c>
      <c r="AS258" t="s">
        <v>123</v>
      </c>
    </row>
    <row r="259" spans="43:45" x14ac:dyDescent="0.3">
      <c r="AQ259">
        <v>5736</v>
      </c>
      <c r="AR259" t="s">
        <v>293</v>
      </c>
      <c r="AS259" t="s">
        <v>123</v>
      </c>
    </row>
    <row r="260" spans="43:45" x14ac:dyDescent="0.3">
      <c r="AQ260">
        <v>5737</v>
      </c>
      <c r="AR260" t="s">
        <v>259</v>
      </c>
      <c r="AS260" t="s">
        <v>123</v>
      </c>
    </row>
    <row r="261" spans="43:45" x14ac:dyDescent="0.3">
      <c r="AQ261">
        <v>5742</v>
      </c>
      <c r="AR261" t="s">
        <v>260</v>
      </c>
      <c r="AS261" t="s">
        <v>101</v>
      </c>
    </row>
    <row r="262" spans="43:45" x14ac:dyDescent="0.3">
      <c r="AQ262">
        <v>5745</v>
      </c>
      <c r="AR262" t="s">
        <v>261</v>
      </c>
      <c r="AS262" t="s">
        <v>101</v>
      </c>
    </row>
    <row r="263" spans="43:45" x14ac:dyDescent="0.3">
      <c r="AQ263">
        <v>6042</v>
      </c>
      <c r="AR263" t="s">
        <v>262</v>
      </c>
      <c r="AS263" t="s">
        <v>227</v>
      </c>
    </row>
    <row r="264" spans="43:45" x14ac:dyDescent="0.3">
      <c r="AQ264">
        <v>8109</v>
      </c>
      <c r="AR264" t="s">
        <v>195</v>
      </c>
      <c r="AS264" t="s">
        <v>169</v>
      </c>
    </row>
    <row r="265" spans="43:45" x14ac:dyDescent="0.3">
      <c r="AQ265">
        <v>8905</v>
      </c>
      <c r="AR265" t="s">
        <v>294</v>
      </c>
      <c r="AS265" t="s">
        <v>199</v>
      </c>
    </row>
    <row r="266" spans="43:45" x14ac:dyDescent="0.3">
      <c r="AQ266">
        <v>8916</v>
      </c>
      <c r="AR266" t="s">
        <v>263</v>
      </c>
      <c r="AS266" t="s">
        <v>199</v>
      </c>
    </row>
    <row r="267" spans="43:45" x14ac:dyDescent="0.3">
      <c r="AQ267">
        <v>8917</v>
      </c>
      <c r="AR267" t="s">
        <v>264</v>
      </c>
      <c r="AS267" t="s">
        <v>199</v>
      </c>
    </row>
    <row r="268" spans="43:45" x14ac:dyDescent="0.3">
      <c r="AQ268">
        <v>8918</v>
      </c>
      <c r="AR268" t="s">
        <v>265</v>
      </c>
      <c r="AS268" t="s">
        <v>199</v>
      </c>
    </row>
    <row r="269" spans="43:45" x14ac:dyDescent="0.3">
      <c r="AQ269">
        <v>8919</v>
      </c>
      <c r="AR269" t="s">
        <v>266</v>
      </c>
      <c r="AS269" t="s">
        <v>227</v>
      </c>
    </row>
    <row r="270" spans="43:45" x14ac:dyDescent="0.3">
      <c r="AQ270">
        <v>8956</v>
      </c>
      <c r="AR270" t="s">
        <v>267</v>
      </c>
      <c r="AS270" t="s">
        <v>169</v>
      </c>
    </row>
    <row r="271" spans="43:45" x14ac:dyDescent="0.3">
      <c r="AQ271">
        <v>8957</v>
      </c>
      <c r="AR271" t="s">
        <v>268</v>
      </c>
      <c r="AS271" t="s">
        <v>169</v>
      </c>
    </row>
    <row r="272" spans="43:45" x14ac:dyDescent="0.3">
      <c r="AQ272">
        <v>8962</v>
      </c>
      <c r="AR272" t="s">
        <v>269</v>
      </c>
      <c r="AS272" t="s">
        <v>169</v>
      </c>
    </row>
    <row r="273" spans="43:45" x14ac:dyDescent="0.3">
      <c r="AQ273">
        <v>8964</v>
      </c>
      <c r="AR273" t="s">
        <v>270</v>
      </c>
      <c r="AS273" t="s">
        <v>199</v>
      </c>
    </row>
    <row r="274" spans="43:45" x14ac:dyDescent="0.3">
      <c r="AQ274">
        <v>8965</v>
      </c>
      <c r="AR274" t="s">
        <v>271</v>
      </c>
      <c r="AS274" t="s">
        <v>199</v>
      </c>
    </row>
    <row r="275" spans="43:45" x14ac:dyDescent="0.3">
      <c r="AQ275">
        <v>8966</v>
      </c>
      <c r="AR275" t="s">
        <v>272</v>
      </c>
      <c r="AS275" t="s">
        <v>199</v>
      </c>
    </row>
    <row r="276" spans="43:45" x14ac:dyDescent="0.3">
      <c r="AQ276">
        <v>8967</v>
      </c>
      <c r="AR276" t="s">
        <v>273</v>
      </c>
      <c r="AS276" t="s">
        <v>199</v>
      </c>
    </row>
  </sheetData>
  <sheetProtection algorithmName="SHA-512" hashValue="LvAW1YTqdXzE1Xsza2WL4PpelPFEztEs/7v2O/M1xU08/25bntajhWVvks6nXQ/+rcDTCStJhZjaYqteH0DU/g==" saltValue="EO0aRROSM9AmRkyc5/Avlw==" spinCount="100000" sheet="1" formatCells="0"/>
  <mergeCells count="24">
    <mergeCell ref="B174:F174"/>
    <mergeCell ref="D65:F65"/>
    <mergeCell ref="D66:F66"/>
    <mergeCell ref="D67:F67"/>
    <mergeCell ref="D68:F68"/>
    <mergeCell ref="C72:F72"/>
    <mergeCell ref="C73:F73"/>
    <mergeCell ref="C74:F74"/>
    <mergeCell ref="B78:G78"/>
    <mergeCell ref="B79:G79"/>
    <mergeCell ref="B80:G80"/>
    <mergeCell ref="B85:E85"/>
    <mergeCell ref="D62:G62"/>
    <mergeCell ref="B17:C17"/>
    <mergeCell ref="B18:C18"/>
    <mergeCell ref="B19:C19"/>
    <mergeCell ref="C54:G54"/>
    <mergeCell ref="D55:G55"/>
    <mergeCell ref="D56:G56"/>
    <mergeCell ref="D57:G57"/>
    <mergeCell ref="D58:G58"/>
    <mergeCell ref="D59:G59"/>
    <mergeCell ref="D60:G60"/>
    <mergeCell ref="D61:G61"/>
  </mergeCells>
  <conditionalFormatting sqref="A44:A51">
    <cfRule type="cellIs" dxfId="25" priority="11" operator="equal">
      <formula>" ."</formula>
    </cfRule>
  </conditionalFormatting>
  <conditionalFormatting sqref="A55:A60">
    <cfRule type="cellIs" dxfId="24" priority="10" operator="equal">
      <formula>" ."</formula>
    </cfRule>
  </conditionalFormatting>
  <conditionalFormatting sqref="A159">
    <cfRule type="cellIs" dxfId="23" priority="4" operator="equal">
      <formula>"Total Unterstützungsbetrag"</formula>
    </cfRule>
  </conditionalFormatting>
  <conditionalFormatting sqref="B159:E159">
    <cfRule type="expression" dxfId="22" priority="3">
      <formula>$A$159="Total Unterstützungsbetrag"</formula>
    </cfRule>
  </conditionalFormatting>
  <conditionalFormatting sqref="C23">
    <cfRule type="cellIs" dxfId="21" priority="13" operator="greaterThan">
      <formula>0.01</formula>
    </cfRule>
  </conditionalFormatting>
  <conditionalFormatting sqref="C24">
    <cfRule type="cellIs" dxfId="20" priority="2" operator="greaterThan">
      <formula>19.99</formula>
    </cfRule>
  </conditionalFormatting>
  <conditionalFormatting sqref="C25">
    <cfRule type="cellIs" dxfId="19" priority="12" operator="greaterThan">
      <formula>0.01</formula>
    </cfRule>
  </conditionalFormatting>
  <conditionalFormatting sqref="F145:F149">
    <cfRule type="cellIs" dxfId="18" priority="8" operator="equal">
      <formula>0</formula>
    </cfRule>
  </conditionalFormatting>
  <conditionalFormatting sqref="F156">
    <cfRule type="cellIs" dxfId="17" priority="9" operator="equal">
      <formula>0</formula>
    </cfRule>
  </conditionalFormatting>
  <conditionalFormatting sqref="F157">
    <cfRule type="cellIs" dxfId="16" priority="7" operator="equal">
      <formula>0</formula>
    </cfRule>
  </conditionalFormatting>
  <conditionalFormatting sqref="F158">
    <cfRule type="cellIs" dxfId="15" priority="6" operator="equal">
      <formula>0</formula>
    </cfRule>
  </conditionalFormatting>
  <conditionalFormatting sqref="F159">
    <cfRule type="cellIs" dxfId="14" priority="5" operator="notEqual">
      <formula>0</formula>
    </cfRule>
  </conditionalFormatting>
  <conditionalFormatting sqref="G44:G47">
    <cfRule type="cellIs" dxfId="13" priority="1" operator="equal">
      <formula>"Fehler (%)"</formula>
    </cfRule>
  </conditionalFormatting>
  <dataValidations disablePrompts="1" count="2">
    <dataValidation type="list" allowBlank="1" showInputMessage="1" showErrorMessage="1" sqref="E4" xr:uid="{A9B69925-69E3-4243-89F7-7A97C83377FB}">
      <formula1>$M$3:$M$4</formula1>
    </dataValidation>
    <dataValidation type="list" showInputMessage="1" showErrorMessage="1" sqref="D29:D40" xr:uid="{FD18032E-05B3-47CD-A1EC-081AE39E679F}">
      <formula1>$P$29:$P$30</formula1>
    </dataValidation>
  </dataValidations>
  <pageMargins left="0.39370078740157483" right="0.19685039370078741" top="0.78740157480314965" bottom="0.78740157480314965" header="0.31496062992125984" footer="0.31496062992125984"/>
  <pageSetup paperSize="9" scale="58" orientation="portrait" r:id="rId1"/>
  <rowBreaks count="1" manualBreakCount="1">
    <brk id="91" max="6" man="1"/>
  </rowBreaks>
  <ignoredErrors>
    <ignoredError sqref="B19 B17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45D64-A295-4804-97C5-BD615ED76BA0}">
  <dimension ref="A1:CC276"/>
  <sheetViews>
    <sheetView zoomScaleNormal="100" zoomScaleSheetLayoutView="115" workbookViewId="0">
      <selection activeCell="A8" sqref="A8"/>
    </sheetView>
  </sheetViews>
  <sheetFormatPr baseColWidth="10" defaultColWidth="0" defaultRowHeight="14" x14ac:dyDescent="0.3"/>
  <cols>
    <col min="1" max="1" width="27.5" customWidth="1"/>
    <col min="2" max="2" width="23.83203125" customWidth="1"/>
    <col min="3" max="3" width="18.5" customWidth="1"/>
    <col min="4" max="4" width="18.33203125" customWidth="1"/>
    <col min="5" max="5" width="20.58203125" customWidth="1"/>
    <col min="6" max="6" width="19.83203125" style="1" customWidth="1"/>
    <col min="7" max="7" width="17" customWidth="1"/>
    <col min="8" max="8" width="5.08203125" customWidth="1"/>
    <col min="9" max="10" width="12.5" hidden="1" customWidth="1"/>
    <col min="11" max="11" width="41.5" hidden="1" customWidth="1"/>
    <col min="12" max="12" width="61.33203125" hidden="1" customWidth="1"/>
    <col min="13" max="13" width="25.58203125" hidden="1" customWidth="1"/>
    <col min="14" max="14" width="25.75" hidden="1" customWidth="1"/>
    <col min="15" max="15" width="22.33203125" hidden="1" customWidth="1"/>
    <col min="16" max="16" width="14.58203125" hidden="1" customWidth="1"/>
    <col min="17" max="17" width="13.83203125" hidden="1" customWidth="1"/>
    <col min="18" max="18" width="12.83203125" hidden="1" customWidth="1"/>
    <col min="19" max="19" width="30" hidden="1" customWidth="1"/>
    <col min="20" max="20" width="15.83203125" hidden="1" customWidth="1"/>
    <col min="21" max="21" width="13.08203125" hidden="1" customWidth="1"/>
    <col min="22" max="22" width="19.33203125" hidden="1" customWidth="1"/>
    <col min="23" max="73" width="10.58203125" hidden="1" customWidth="1"/>
    <col min="74" max="74" width="8.75" hidden="1" customWidth="1"/>
    <col min="75" max="75" width="73.58203125" bestFit="1" customWidth="1"/>
    <col min="76" max="81" width="10.58203125" hidden="1" customWidth="1"/>
    <col min="82" max="16384" width="11" hidden="1"/>
  </cols>
  <sheetData>
    <row r="1" spans="1:77" x14ac:dyDescent="0.3">
      <c r="K1" s="143" t="s">
        <v>372</v>
      </c>
      <c r="L1" s="22" t="s">
        <v>326</v>
      </c>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row>
    <row r="2" spans="1:77" ht="19" x14ac:dyDescent="0.4">
      <c r="A2" s="82" t="s">
        <v>396</v>
      </c>
      <c r="F2"/>
      <c r="L2" t="s">
        <v>298</v>
      </c>
      <c r="U2" s="44"/>
      <c r="AY2" t="s">
        <v>350</v>
      </c>
      <c r="BW2" s="115" t="s">
        <v>441</v>
      </c>
    </row>
    <row r="3" spans="1:77" x14ac:dyDescent="0.3">
      <c r="A3" s="68" t="s">
        <v>397</v>
      </c>
      <c r="F3"/>
      <c r="U3" s="44"/>
      <c r="BW3" t="s">
        <v>327</v>
      </c>
    </row>
    <row r="4" spans="1:77" x14ac:dyDescent="0.3">
      <c r="A4" s="68" t="s">
        <v>398</v>
      </c>
      <c r="F4" s="261" t="s">
        <v>446</v>
      </c>
      <c r="U4" s="44"/>
    </row>
    <row r="5" spans="1:77" x14ac:dyDescent="0.3">
      <c r="A5" s="161" t="s">
        <v>432</v>
      </c>
      <c r="F5" s="261" t="s">
        <v>447</v>
      </c>
      <c r="U5" s="44"/>
    </row>
    <row r="6" spans="1:77" ht="14.5" thickBot="1" x14ac:dyDescent="0.35">
      <c r="K6" s="2" t="s">
        <v>423</v>
      </c>
      <c r="M6" s="45" t="s">
        <v>49</v>
      </c>
      <c r="N6" s="22"/>
      <c r="O6" s="22"/>
      <c r="P6" s="22"/>
      <c r="Q6" s="22"/>
      <c r="U6" t="s">
        <v>58</v>
      </c>
    </row>
    <row r="7" spans="1:77" s="2" customFormat="1" ht="28" customHeight="1" x14ac:dyDescent="0.3">
      <c r="A7" s="70" t="s">
        <v>27</v>
      </c>
      <c r="B7" s="71" t="s">
        <v>1</v>
      </c>
      <c r="C7" s="71" t="s">
        <v>28</v>
      </c>
      <c r="D7" s="71" t="s">
        <v>29</v>
      </c>
      <c r="E7" s="71" t="s">
        <v>0</v>
      </c>
      <c r="F7" s="72" t="s">
        <v>4</v>
      </c>
      <c r="G7" s="73" t="s">
        <v>30</v>
      </c>
      <c r="I7" s="145"/>
      <c r="K7" s="248">
        <v>55.7</v>
      </c>
      <c r="M7" t="s">
        <v>351</v>
      </c>
      <c r="S7" s="46" t="s">
        <v>57</v>
      </c>
      <c r="T7" s="46"/>
      <c r="U7" s="46" t="s">
        <v>6</v>
      </c>
      <c r="V7" s="46" t="s">
        <v>5</v>
      </c>
      <c r="AE7" s="2" t="s">
        <v>295</v>
      </c>
      <c r="AO7" t="s">
        <v>81</v>
      </c>
      <c r="AY7"/>
      <c r="AZ7"/>
      <c r="BA7"/>
      <c r="BB7"/>
      <c r="BC7"/>
      <c r="BD7"/>
      <c r="BE7" s="23"/>
      <c r="BF7"/>
      <c r="BG7"/>
      <c r="BH7"/>
      <c r="BI7"/>
      <c r="BW7" s="2" t="s">
        <v>401</v>
      </c>
      <c r="BY7" s="116"/>
    </row>
    <row r="8" spans="1:77" x14ac:dyDescent="0.3">
      <c r="A8" s="262" t="s">
        <v>380</v>
      </c>
      <c r="B8" s="263" t="s">
        <v>381</v>
      </c>
      <c r="C8" s="264">
        <v>777777</v>
      </c>
      <c r="D8" s="264">
        <v>555555</v>
      </c>
      <c r="E8" s="265">
        <v>29952</v>
      </c>
      <c r="F8" s="43">
        <f t="shared" ref="F8:F13" si="0">IF(E8&gt;10000,((DATEDIF(E8,$F$17,"Y"))),"")</f>
        <v>43</v>
      </c>
      <c r="G8" s="75">
        <f>COUNT(E8:E15)</f>
        <v>3</v>
      </c>
      <c r="K8" s="67">
        <f t="shared" ref="K8:K15" si="1">IF(F8&lt;19,1,0)</f>
        <v>0</v>
      </c>
      <c r="L8" s="78" t="s">
        <v>297</v>
      </c>
      <c r="S8" s="43">
        <f t="shared" ref="S8:S15" si="2">IF(E8&gt;20000,((DATEDIF(E8,$F$17,"Y"))),"")</f>
        <v>43</v>
      </c>
      <c r="T8" s="43">
        <f t="shared" ref="T8:T15" si="3">IF(E8&gt;20000,((DATEDIF(E8,($F$17+30),"Y"))),"")</f>
        <v>43</v>
      </c>
      <c r="U8" s="47" t="str">
        <f t="shared" ref="U8:U15" si="4">IF(AND(S8=5,T8=6)," Korrektur! Erhöhung Taschengeld im laufenden Monat.","")</f>
        <v/>
      </c>
      <c r="V8" s="47" t="str">
        <f t="shared" ref="V8:V15" si="5">IF(AND(S8=15,T8=16)," Korrektur! Erhöhung Verpflegungsgeld im laufenden Monat.","")</f>
        <v/>
      </c>
      <c r="AO8" t="s">
        <v>23</v>
      </c>
      <c r="AP8" t="s">
        <v>82</v>
      </c>
      <c r="AQ8" t="s">
        <v>83</v>
      </c>
      <c r="BC8" t="s">
        <v>319</v>
      </c>
      <c r="BE8" s="23"/>
      <c r="BJ8" t="s">
        <v>427</v>
      </c>
      <c r="BW8" s="104" t="s">
        <v>439</v>
      </c>
    </row>
    <row r="9" spans="1:77" x14ac:dyDescent="0.3">
      <c r="A9" s="262" t="s">
        <v>380</v>
      </c>
      <c r="B9" s="263" t="s">
        <v>405</v>
      </c>
      <c r="C9" s="264">
        <v>777777</v>
      </c>
      <c r="D9" s="264">
        <v>555555</v>
      </c>
      <c r="E9" s="265">
        <v>30317</v>
      </c>
      <c r="F9" s="43">
        <f t="shared" si="0"/>
        <v>42</v>
      </c>
      <c r="G9" s="76"/>
      <c r="K9" s="67">
        <f t="shared" si="1"/>
        <v>0</v>
      </c>
      <c r="M9" s="21"/>
      <c r="S9" s="43">
        <f t="shared" si="2"/>
        <v>42</v>
      </c>
      <c r="T9" s="43">
        <f t="shared" si="3"/>
        <v>42</v>
      </c>
      <c r="U9" s="47" t="str">
        <f t="shared" si="4"/>
        <v/>
      </c>
      <c r="V9" s="47" t="str">
        <f t="shared" si="5"/>
        <v/>
      </c>
      <c r="AE9" s="80" t="s">
        <v>296</v>
      </c>
      <c r="AO9">
        <v>4303</v>
      </c>
      <c r="AP9" t="s">
        <v>84</v>
      </c>
      <c r="AQ9" t="s">
        <v>85</v>
      </c>
      <c r="BD9" s="78">
        <v>45292</v>
      </c>
      <c r="BE9" s="23"/>
    </row>
    <row r="10" spans="1:77" x14ac:dyDescent="0.3">
      <c r="A10" s="262" t="s">
        <v>380</v>
      </c>
      <c r="B10" s="263" t="s">
        <v>404</v>
      </c>
      <c r="C10" s="264">
        <v>777777</v>
      </c>
      <c r="D10" s="264">
        <v>555555</v>
      </c>
      <c r="E10" s="265">
        <v>40179</v>
      </c>
      <c r="F10" s="43">
        <f t="shared" si="0"/>
        <v>15</v>
      </c>
      <c r="G10" s="76"/>
      <c r="K10" s="67">
        <f t="shared" si="1"/>
        <v>1</v>
      </c>
      <c r="S10" s="43">
        <f t="shared" si="2"/>
        <v>15</v>
      </c>
      <c r="T10" s="43">
        <f t="shared" si="3"/>
        <v>15</v>
      </c>
      <c r="U10" s="47" t="str">
        <f t="shared" si="4"/>
        <v/>
      </c>
      <c r="V10" s="47" t="str">
        <f t="shared" si="5"/>
        <v/>
      </c>
      <c r="AE10" s="80" t="str">
        <f>TEXT(E9,"JJJJ")</f>
        <v>1983</v>
      </c>
      <c r="AO10">
        <v>4305</v>
      </c>
      <c r="AP10" t="s">
        <v>86</v>
      </c>
      <c r="AQ10" t="s">
        <v>85</v>
      </c>
      <c r="BE10" s="23"/>
      <c r="BW10" s="214" t="s">
        <v>440</v>
      </c>
    </row>
    <row r="11" spans="1:77" x14ac:dyDescent="0.3">
      <c r="A11" s="262"/>
      <c r="B11" s="263"/>
      <c r="C11" s="264"/>
      <c r="D11" s="264"/>
      <c r="E11" s="265"/>
      <c r="F11" s="43" t="str">
        <f t="shared" si="0"/>
        <v/>
      </c>
      <c r="G11" s="77"/>
      <c r="K11" s="67">
        <f t="shared" si="1"/>
        <v>0</v>
      </c>
      <c r="L11" t="s">
        <v>307</v>
      </c>
      <c r="S11" s="43" t="str">
        <f t="shared" si="2"/>
        <v/>
      </c>
      <c r="T11" s="43" t="str">
        <f t="shared" si="3"/>
        <v/>
      </c>
      <c r="U11" s="47" t="str">
        <f t="shared" si="4"/>
        <v/>
      </c>
      <c r="V11" s="47" t="str">
        <f t="shared" si="5"/>
        <v/>
      </c>
      <c r="AE11" s="80" t="str">
        <f>TEXT(E10,"JJJJ")</f>
        <v>2010</v>
      </c>
      <c r="AO11">
        <v>4310</v>
      </c>
      <c r="AP11" t="s">
        <v>87</v>
      </c>
      <c r="AQ11" t="s">
        <v>85</v>
      </c>
      <c r="BC11" s="68" t="s">
        <v>82</v>
      </c>
      <c r="BD11" s="100" t="s">
        <v>4</v>
      </c>
      <c r="BE11" s="29" t="s">
        <v>317</v>
      </c>
      <c r="BF11" s="1" t="s">
        <v>422</v>
      </c>
      <c r="BG11" s="1"/>
      <c r="BI11" s="23">
        <v>55.7</v>
      </c>
      <c r="BJ11" t="s">
        <v>424</v>
      </c>
    </row>
    <row r="12" spans="1:77" ht="14.5" thickBot="1" x14ac:dyDescent="0.35">
      <c r="A12" s="262"/>
      <c r="B12" s="263"/>
      <c r="C12" s="264"/>
      <c r="D12" s="264"/>
      <c r="E12" s="265"/>
      <c r="F12" s="43" t="str">
        <f t="shared" si="0"/>
        <v/>
      </c>
      <c r="G12" s="77"/>
      <c r="K12" s="67">
        <f t="shared" si="1"/>
        <v>0</v>
      </c>
      <c r="L12" t="s">
        <v>306</v>
      </c>
      <c r="S12" s="43" t="str">
        <f t="shared" si="2"/>
        <v/>
      </c>
      <c r="T12" s="43" t="str">
        <f t="shared" si="3"/>
        <v/>
      </c>
      <c r="U12" s="47" t="str">
        <f t="shared" si="4"/>
        <v/>
      </c>
      <c r="V12" s="47" t="str">
        <f t="shared" si="5"/>
        <v/>
      </c>
      <c r="AE12" s="80" t="str">
        <f>TEXT(E11,"JJJJ")</f>
        <v>1900</v>
      </c>
      <c r="AO12">
        <v>4312</v>
      </c>
      <c r="AP12" t="s">
        <v>88</v>
      </c>
      <c r="AQ12" t="s">
        <v>85</v>
      </c>
      <c r="AY12" t="s">
        <v>316</v>
      </c>
      <c r="AZ12" s="81" t="str">
        <f t="shared" ref="AZ12:AZ19" si="6">IF(E8&gt;0,TEXT(E8,"JJJJ"),"")</f>
        <v>1982</v>
      </c>
      <c r="BA12" s="81" t="str">
        <f t="shared" ref="BA12:BA19" si="7">CONCATENATE(AY12,AZ12)</f>
        <v>1.1.1982</v>
      </c>
      <c r="BB12" s="96">
        <f t="shared" ref="BB12:BB19" si="8">IFERROR(VALUE(BA12),"")</f>
        <v>29952</v>
      </c>
      <c r="BC12" s="98" t="str">
        <f t="shared" ref="BC12:BC19" si="9">CONCATENATE(B8," ",A8)</f>
        <v>Mohammed Ali</v>
      </c>
      <c r="BD12" s="99">
        <f t="shared" ref="BD12:BD19" si="10">IFERROR(DATEDIF(BB12,$BD$9,"Y"),"")</f>
        <v>42</v>
      </c>
      <c r="BE12" s="23">
        <f t="shared" ref="BE12:BE19" si="11">IFERROR(VLOOKUP(BD12,BH:BI,2,FALSE),0)</f>
        <v>395.45</v>
      </c>
      <c r="BF12">
        <f t="shared" ref="BF12:BF19" si="12">IF(BD12&lt;19,1,0)</f>
        <v>0</v>
      </c>
      <c r="BG12" s="23">
        <f>BE12</f>
        <v>395.45</v>
      </c>
      <c r="BH12">
        <v>0</v>
      </c>
      <c r="BI12">
        <v>116.55</v>
      </c>
    </row>
    <row r="13" spans="1:77" ht="14.5" thickBot="1" x14ac:dyDescent="0.35">
      <c r="A13" s="266"/>
      <c r="B13" s="267"/>
      <c r="C13" s="268"/>
      <c r="D13" s="268"/>
      <c r="E13" s="269"/>
      <c r="F13" s="168" t="str">
        <f t="shared" si="0"/>
        <v/>
      </c>
      <c r="G13" s="169"/>
      <c r="K13" s="67">
        <f t="shared" si="1"/>
        <v>0</v>
      </c>
      <c r="S13" s="43" t="str">
        <f t="shared" si="2"/>
        <v/>
      </c>
      <c r="T13" s="43" t="str">
        <f t="shared" si="3"/>
        <v/>
      </c>
      <c r="U13" s="47" t="str">
        <f t="shared" si="4"/>
        <v/>
      </c>
      <c r="V13" s="47" t="str">
        <f t="shared" si="5"/>
        <v/>
      </c>
      <c r="W13" s="30" t="s">
        <v>426</v>
      </c>
      <c r="X13" s="32"/>
      <c r="AE13" s="80" t="str">
        <f>TEXT(E12,"JJJJ")</f>
        <v>1900</v>
      </c>
      <c r="AO13">
        <v>4313</v>
      </c>
      <c r="AP13" t="s">
        <v>89</v>
      </c>
      <c r="AQ13" t="s">
        <v>85</v>
      </c>
      <c r="AY13" t="s">
        <v>316</v>
      </c>
      <c r="AZ13" s="81" t="str">
        <f t="shared" si="6"/>
        <v>1983</v>
      </c>
      <c r="BA13" s="81" t="str">
        <f t="shared" si="7"/>
        <v>1.1.1983</v>
      </c>
      <c r="BB13" s="96">
        <f t="shared" si="8"/>
        <v>30317</v>
      </c>
      <c r="BC13" s="98" t="str">
        <f t="shared" si="9"/>
        <v>Laila Ali</v>
      </c>
      <c r="BD13" s="99">
        <f t="shared" si="10"/>
        <v>41</v>
      </c>
      <c r="BE13" s="23">
        <f t="shared" si="11"/>
        <v>395.45</v>
      </c>
      <c r="BF13">
        <f t="shared" si="12"/>
        <v>0</v>
      </c>
      <c r="BG13" s="23">
        <f>BE13</f>
        <v>395.45</v>
      </c>
      <c r="BH13">
        <v>1</v>
      </c>
      <c r="BI13">
        <v>116.55</v>
      </c>
    </row>
    <row r="14" spans="1:77" ht="14.15" hidden="1" customHeight="1" x14ac:dyDescent="0.3">
      <c r="A14" s="263"/>
      <c r="B14" s="263"/>
      <c r="C14" s="270"/>
      <c r="D14" s="270"/>
      <c r="E14" s="265"/>
      <c r="F14" s="43" t="str">
        <f t="shared" ref="F14:F15" si="13">IF(E14&gt;20000,((DATEDIF(E14,$F$17,"Y"))),"")</f>
        <v/>
      </c>
      <c r="G14" s="22" t="s">
        <v>324</v>
      </c>
      <c r="K14" s="67">
        <f t="shared" si="1"/>
        <v>0</v>
      </c>
      <c r="L14" t="s">
        <v>301</v>
      </c>
      <c r="S14" s="43" t="str">
        <f t="shared" si="2"/>
        <v/>
      </c>
      <c r="T14" s="43" t="str">
        <f t="shared" si="3"/>
        <v/>
      </c>
      <c r="U14" s="47" t="str">
        <f t="shared" si="4"/>
        <v/>
      </c>
      <c r="V14" s="47" t="str">
        <f t="shared" si="5"/>
        <v/>
      </c>
      <c r="W14" s="225">
        <v>1</v>
      </c>
      <c r="X14" s="5">
        <v>345</v>
      </c>
      <c r="AO14">
        <v>4314</v>
      </c>
      <c r="AP14" t="s">
        <v>90</v>
      </c>
      <c r="AQ14" t="s">
        <v>85</v>
      </c>
      <c r="AY14" t="s">
        <v>316</v>
      </c>
      <c r="AZ14" s="81" t="str">
        <f t="shared" si="6"/>
        <v>2010</v>
      </c>
      <c r="BA14" s="81" t="str">
        <f t="shared" si="7"/>
        <v>1.1.2010</v>
      </c>
      <c r="BB14" s="96">
        <f t="shared" si="8"/>
        <v>40179</v>
      </c>
      <c r="BC14" s="98" t="str">
        <f t="shared" si="9"/>
        <v>Junior Ali</v>
      </c>
      <c r="BD14" s="99">
        <f t="shared" si="10"/>
        <v>14</v>
      </c>
      <c r="BE14" s="23">
        <f t="shared" si="11"/>
        <v>116.55</v>
      </c>
      <c r="BF14">
        <f t="shared" si="12"/>
        <v>1</v>
      </c>
      <c r="BG14" s="23">
        <f>IF(BE14=$BI$12,((IF((BF12+BF13)=2,$BI$11,BE14))),BE14)</f>
        <v>116.55</v>
      </c>
      <c r="BH14">
        <v>2</v>
      </c>
      <c r="BI14">
        <v>116.55</v>
      </c>
    </row>
    <row r="15" spans="1:77" ht="14.15" hidden="1" customHeight="1" x14ac:dyDescent="0.3">
      <c r="A15" s="263"/>
      <c r="B15" s="263"/>
      <c r="C15" s="270"/>
      <c r="D15" s="270"/>
      <c r="E15" s="265"/>
      <c r="F15" s="43" t="str">
        <f t="shared" si="13"/>
        <v/>
      </c>
      <c r="G15" s="22" t="s">
        <v>324</v>
      </c>
      <c r="K15" s="67">
        <f t="shared" si="1"/>
        <v>0</v>
      </c>
      <c r="S15" s="43" t="str">
        <f t="shared" si="2"/>
        <v/>
      </c>
      <c r="T15" s="43" t="str">
        <f t="shared" si="3"/>
        <v/>
      </c>
      <c r="U15" s="47" t="str">
        <f t="shared" si="4"/>
        <v/>
      </c>
      <c r="V15" s="47" t="str">
        <f t="shared" si="5"/>
        <v/>
      </c>
      <c r="W15" s="225">
        <v>2</v>
      </c>
      <c r="X15" s="5">
        <f>+X14*2</f>
        <v>690</v>
      </c>
      <c r="AY15" t="s">
        <v>316</v>
      </c>
      <c r="AZ15" s="81" t="str">
        <f t="shared" si="6"/>
        <v/>
      </c>
      <c r="BA15" s="81" t="str">
        <f t="shared" si="7"/>
        <v>1.1.</v>
      </c>
      <c r="BB15" s="96" t="str">
        <f t="shared" si="8"/>
        <v/>
      </c>
      <c r="BC15" s="98" t="str">
        <f t="shared" si="9"/>
        <v xml:space="preserve"> </v>
      </c>
      <c r="BD15" s="99" t="str">
        <f t="shared" si="10"/>
        <v/>
      </c>
      <c r="BE15" s="23">
        <f t="shared" si="11"/>
        <v>0</v>
      </c>
      <c r="BF15">
        <f t="shared" si="12"/>
        <v>0</v>
      </c>
      <c r="BG15" s="23">
        <f>IF(BE15=$BI$12,((IF((+BF12+BF13+BF14)&gt;1.99,$BI$11,BE15))),BE15)</f>
        <v>0</v>
      </c>
      <c r="BH15">
        <v>3</v>
      </c>
      <c r="BI15">
        <v>116.55</v>
      </c>
    </row>
    <row r="16" spans="1:77" x14ac:dyDescent="0.3">
      <c r="C16" s="113" t="str">
        <f>IF(AND(D8&gt;1,C8=""),"Bitte auch N-Nummer eintragen","")</f>
        <v/>
      </c>
      <c r="D16" s="67"/>
      <c r="E16" s="78"/>
      <c r="F16"/>
      <c r="K16" s="67"/>
      <c r="L16" s="149">
        <f>DAY(DATE(YEAR(F17),MONTH(F17)+1,1)-1)</f>
        <v>28</v>
      </c>
      <c r="M16" s="146" t="s">
        <v>374</v>
      </c>
      <c r="N16" s="147" t="s">
        <v>375</v>
      </c>
      <c r="O16" s="53" t="s">
        <v>376</v>
      </c>
      <c r="W16" s="225">
        <v>3</v>
      </c>
      <c r="X16" s="5">
        <v>1035</v>
      </c>
      <c r="AE16" s="80" t="str">
        <f>TEXT(E15,"JJJJ")</f>
        <v>1900</v>
      </c>
      <c r="AO16">
        <v>4315</v>
      </c>
      <c r="AP16" t="s">
        <v>91</v>
      </c>
      <c r="AQ16" t="s">
        <v>85</v>
      </c>
      <c r="AY16" t="s">
        <v>316</v>
      </c>
      <c r="AZ16" s="81" t="str">
        <f t="shared" si="6"/>
        <v/>
      </c>
      <c r="BA16" s="81" t="str">
        <f t="shared" si="7"/>
        <v>1.1.</v>
      </c>
      <c r="BB16" s="96" t="str">
        <f t="shared" si="8"/>
        <v/>
      </c>
      <c r="BC16" s="98" t="str">
        <f t="shared" si="9"/>
        <v xml:space="preserve"> </v>
      </c>
      <c r="BD16" s="99" t="str">
        <f t="shared" si="10"/>
        <v/>
      </c>
      <c r="BE16" s="23">
        <f t="shared" si="11"/>
        <v>0</v>
      </c>
      <c r="BF16">
        <f t="shared" si="12"/>
        <v>0</v>
      </c>
      <c r="BG16" s="23">
        <f>IF(BE16=$BI$12,((IF((+BF12+BF13+BF14+BF15)&gt;1.99,$BI$11,BE16))),BE16)</f>
        <v>0</v>
      </c>
      <c r="BH16">
        <v>4</v>
      </c>
      <c r="BI16">
        <v>116.55</v>
      </c>
      <c r="BW16" t="s">
        <v>455</v>
      </c>
    </row>
    <row r="17" spans="1:61" x14ac:dyDescent="0.3">
      <c r="A17" t="s">
        <v>2</v>
      </c>
      <c r="B17" s="352" t="s">
        <v>456</v>
      </c>
      <c r="C17" s="352"/>
      <c r="D17" s="67"/>
      <c r="E17" s="105" t="s">
        <v>38</v>
      </c>
      <c r="F17" s="271">
        <v>45689</v>
      </c>
      <c r="G17" s="156" t="str">
        <f>CONCATENATE(L16," Tage")</f>
        <v>28 Tage</v>
      </c>
      <c r="L17" s="150" t="s">
        <v>379</v>
      </c>
      <c r="M17" s="146" t="str">
        <f>TEXT(F17,"MMMM")</f>
        <v>Februar</v>
      </c>
      <c r="N17" s="148">
        <f>YEAR(F17)</f>
        <v>2025</v>
      </c>
      <c r="O17" s="53"/>
      <c r="W17" s="225">
        <v>4</v>
      </c>
      <c r="X17" s="5">
        <v>1318</v>
      </c>
      <c r="AO17">
        <v>4316</v>
      </c>
      <c r="AP17" t="s">
        <v>92</v>
      </c>
      <c r="AQ17" t="s">
        <v>85</v>
      </c>
      <c r="AY17" t="s">
        <v>316</v>
      </c>
      <c r="AZ17" s="81" t="str">
        <f t="shared" si="6"/>
        <v/>
      </c>
      <c r="BA17" s="81" t="str">
        <f t="shared" si="7"/>
        <v>1.1.</v>
      </c>
      <c r="BB17" s="96" t="str">
        <f t="shared" si="8"/>
        <v/>
      </c>
      <c r="BC17" s="98" t="str">
        <f t="shared" si="9"/>
        <v xml:space="preserve"> </v>
      </c>
      <c r="BD17" s="99" t="str">
        <f t="shared" si="10"/>
        <v/>
      </c>
      <c r="BE17" s="23">
        <f t="shared" si="11"/>
        <v>0</v>
      </c>
      <c r="BF17">
        <f t="shared" si="12"/>
        <v>0</v>
      </c>
      <c r="BG17" s="23">
        <f>IF(BE17=$BI$12,((IF((+BF12+BF13+BF14+BF15+BF16)&gt;1.99,$BI$11,BE17))),BE17)</f>
        <v>0</v>
      </c>
      <c r="BH17">
        <v>5</v>
      </c>
      <c r="BI17">
        <v>116.55</v>
      </c>
    </row>
    <row r="18" spans="1:61" x14ac:dyDescent="0.3">
      <c r="A18" t="s">
        <v>23</v>
      </c>
      <c r="B18" s="352">
        <v>5000</v>
      </c>
      <c r="C18" s="352"/>
      <c r="D18" s="67"/>
      <c r="E18" s="107"/>
      <c r="M18" s="48"/>
      <c r="U18" s="23"/>
      <c r="W18" s="225">
        <v>5</v>
      </c>
      <c r="X18" s="5">
        <v>1539</v>
      </c>
      <c r="AO18">
        <v>4317</v>
      </c>
      <c r="AP18" t="s">
        <v>93</v>
      </c>
      <c r="AQ18" t="s">
        <v>85</v>
      </c>
      <c r="AY18" t="s">
        <v>316</v>
      </c>
      <c r="AZ18" s="81" t="str">
        <f t="shared" si="6"/>
        <v/>
      </c>
      <c r="BA18" s="81" t="str">
        <f t="shared" si="7"/>
        <v>1.1.</v>
      </c>
      <c r="BB18" s="96" t="str">
        <f t="shared" si="8"/>
        <v/>
      </c>
      <c r="BC18" s="98" t="str">
        <f t="shared" si="9"/>
        <v xml:space="preserve"> </v>
      </c>
      <c r="BD18" s="99" t="str">
        <f t="shared" si="10"/>
        <v/>
      </c>
      <c r="BE18" s="23">
        <f t="shared" si="11"/>
        <v>0</v>
      </c>
      <c r="BF18">
        <f t="shared" si="12"/>
        <v>0</v>
      </c>
      <c r="BG18" s="23">
        <f>IF(BE18=$BI$12,((IF((+BF12+BF13+BF14+BF15+BF16+BF17)&gt;1.99,$BI$11,BE18))),BE18)</f>
        <v>0</v>
      </c>
      <c r="BH18">
        <v>6</v>
      </c>
      <c r="BI18">
        <v>116.55</v>
      </c>
    </row>
    <row r="19" spans="1:61" x14ac:dyDescent="0.3">
      <c r="A19" t="s">
        <v>22</v>
      </c>
      <c r="B19" s="352" t="str">
        <f>IFERROR((VLOOKUP(B18,AO:AP,2,FALSE)),"")</f>
        <v>Aarau</v>
      </c>
      <c r="C19" s="352"/>
      <c r="D19" s="67"/>
      <c r="E19" s="78" t="s">
        <v>354</v>
      </c>
      <c r="F19" s="272">
        <v>45689</v>
      </c>
      <c r="M19" s="48"/>
      <c r="U19" s="23"/>
      <c r="W19" s="225">
        <v>6</v>
      </c>
      <c r="X19" s="5">
        <v>1725</v>
      </c>
      <c r="AO19">
        <v>4322</v>
      </c>
      <c r="AP19" t="s">
        <v>94</v>
      </c>
      <c r="AQ19" t="s">
        <v>85</v>
      </c>
      <c r="AY19" t="s">
        <v>316</v>
      </c>
      <c r="AZ19" s="81" t="str">
        <f t="shared" si="6"/>
        <v/>
      </c>
      <c r="BA19" s="81" t="str">
        <f t="shared" si="7"/>
        <v>1.1.</v>
      </c>
      <c r="BB19" s="96" t="str">
        <f t="shared" si="8"/>
        <v/>
      </c>
      <c r="BC19" s="98" t="str">
        <f t="shared" si="9"/>
        <v xml:space="preserve"> </v>
      </c>
      <c r="BD19" s="99" t="str">
        <f t="shared" si="10"/>
        <v/>
      </c>
      <c r="BE19" s="23">
        <f t="shared" si="11"/>
        <v>0</v>
      </c>
      <c r="BF19">
        <f t="shared" si="12"/>
        <v>0</v>
      </c>
      <c r="BG19" s="23">
        <f>IF(BE19=$BI$12,((IF((+BF12+BF13+BF14+BF15+BF16+BF17+BF18)&gt;1.99,$BI$11,BE19))),BE19)</f>
        <v>0</v>
      </c>
      <c r="BH19">
        <v>7</v>
      </c>
      <c r="BI19">
        <v>116.55</v>
      </c>
    </row>
    <row r="20" spans="1:61" ht="14.5" thickBot="1" x14ac:dyDescent="0.35">
      <c r="D20" s="67"/>
      <c r="E20" s="258" t="str">
        <f>IF(F19&lt;45658,"Berechnungsblatt ist erst ab 2025 gültig","")</f>
        <v/>
      </c>
      <c r="M20" s="48"/>
      <c r="U20" s="23"/>
      <c r="W20" s="225">
        <v>7</v>
      </c>
      <c r="X20" s="5">
        <v>1904</v>
      </c>
      <c r="AO20">
        <v>4323</v>
      </c>
      <c r="AP20" t="s">
        <v>95</v>
      </c>
      <c r="AQ20" t="s">
        <v>85</v>
      </c>
      <c r="AZ20" s="80" t="str">
        <f>IF(Beispiel!BB18&gt;0,TEXT(Beispiel!BB18,"JJJJ"),"")</f>
        <v/>
      </c>
      <c r="BA20" s="80"/>
      <c r="BB20" s="80"/>
      <c r="BC20" s="101"/>
      <c r="BD20" s="101"/>
      <c r="BE20" s="23"/>
      <c r="BH20">
        <v>8</v>
      </c>
      <c r="BI20">
        <v>116.55</v>
      </c>
    </row>
    <row r="21" spans="1:61" x14ac:dyDescent="0.3">
      <c r="A21" s="67"/>
      <c r="B21" s="110" t="str">
        <f>IF(E8="","Art der Unterstützung",(IFERROR(B162,"Art der Unterstützung")))</f>
        <v>nicht unterstützt / arbeitet</v>
      </c>
      <c r="C21" s="111"/>
      <c r="E21" t="s">
        <v>78</v>
      </c>
      <c r="F21"/>
      <c r="L21" t="s">
        <v>79</v>
      </c>
      <c r="M21" s="48"/>
      <c r="U21" s="23"/>
      <c r="W21" s="225">
        <v>8</v>
      </c>
      <c r="X21" s="5">
        <v>2091</v>
      </c>
      <c r="AZ21" s="80"/>
      <c r="BA21" s="80"/>
      <c r="BB21" s="80"/>
      <c r="BC21" s="101"/>
      <c r="BD21" s="101"/>
      <c r="BE21" s="23"/>
      <c r="BH21">
        <v>9</v>
      </c>
      <c r="BI21">
        <v>116.55</v>
      </c>
    </row>
    <row r="22" spans="1:61" x14ac:dyDescent="0.3">
      <c r="A22" s="67"/>
      <c r="B22" s="225" t="s">
        <v>421</v>
      </c>
      <c r="C22" s="153">
        <f>IF(F156&gt;0.01,F156,0)</f>
        <v>0</v>
      </c>
      <c r="E22" t="s">
        <v>373</v>
      </c>
      <c r="F22" s="273" t="s">
        <v>442</v>
      </c>
      <c r="G22" s="274"/>
      <c r="M22" s="48"/>
      <c r="U22" s="23"/>
      <c r="W22" s="225">
        <v>9</v>
      </c>
      <c r="X22" s="5">
        <v>2270</v>
      </c>
      <c r="AO22">
        <v>4324</v>
      </c>
      <c r="AP22" t="s">
        <v>96</v>
      </c>
      <c r="AQ22" t="s">
        <v>85</v>
      </c>
      <c r="AZ22" s="80"/>
      <c r="BA22" s="80"/>
      <c r="BB22" s="80"/>
      <c r="BC22" s="101"/>
      <c r="BD22" s="97" t="s">
        <v>8</v>
      </c>
      <c r="BE22" s="49">
        <f>SUM(BE12:BE21)</f>
        <v>907.44999999999993</v>
      </c>
      <c r="BH22">
        <v>10</v>
      </c>
      <c r="BI22">
        <v>116.55</v>
      </c>
    </row>
    <row r="23" spans="1:61" ht="14.5" thickBot="1" x14ac:dyDescent="0.35">
      <c r="A23" s="67"/>
      <c r="B23" s="112" t="s">
        <v>75</v>
      </c>
      <c r="C23" s="153">
        <f>IF(S159&gt;0.01,S159,0)</f>
        <v>810</v>
      </c>
      <c r="F23"/>
      <c r="M23" s="48"/>
      <c r="U23" s="23"/>
      <c r="W23" s="256">
        <v>10</v>
      </c>
      <c r="X23" s="257">
        <v>2456</v>
      </c>
      <c r="AZ23" s="80"/>
      <c r="BA23" s="80"/>
      <c r="BB23" s="80"/>
      <c r="BC23" s="101"/>
      <c r="BD23" s="97"/>
      <c r="BE23" s="49"/>
    </row>
    <row r="24" spans="1:61" x14ac:dyDescent="0.3">
      <c r="A24" s="67"/>
      <c r="B24" s="112" t="s">
        <v>76</v>
      </c>
      <c r="C24" s="153">
        <f>IF(S160&gt;0.01,S160,0)</f>
        <v>907.44999999999993</v>
      </c>
      <c r="E24" s="151" t="str">
        <f>IF(G8=0,"",((IF(A152="Überschuss","Überschuss",""))))</f>
        <v>Überschuss</v>
      </c>
      <c r="F24" s="152">
        <f>IF(G8=0,"",((IF(A152="Überschuss",-E153,""))))</f>
        <v>1101.55</v>
      </c>
      <c r="M24" s="48"/>
      <c r="U24" s="23"/>
      <c r="AO24">
        <v>4325</v>
      </c>
      <c r="AP24" t="s">
        <v>97</v>
      </c>
      <c r="AQ24" t="s">
        <v>85</v>
      </c>
      <c r="AZ24" s="80" t="str">
        <f>IF(Beispiel!BB21&gt;0,TEXT(Beispiel!BB21,"JJJJ"),"")</f>
        <v/>
      </c>
      <c r="BA24" s="80"/>
      <c r="BB24" s="80"/>
      <c r="BC24" s="101"/>
      <c r="BD24" s="101"/>
      <c r="BE24" s="23"/>
      <c r="BH24">
        <v>11</v>
      </c>
      <c r="BI24">
        <v>116.55</v>
      </c>
    </row>
    <row r="25" spans="1:61" ht="14.5" thickBot="1" x14ac:dyDescent="0.35">
      <c r="A25" s="67"/>
      <c r="B25" s="127" t="s">
        <v>323</v>
      </c>
      <c r="C25" s="154">
        <f>IF(B162="teilunterstützt / arbeitet",F150,0)</f>
        <v>0</v>
      </c>
      <c r="E25" s="170" t="str">
        <f>IF(E24="Überschuss","muss im Folgemonat bei ''weitere Einnahmen'' eingetragen werden","")</f>
        <v>muss im Folgemonat bei ''weitere Einnahmen'' eingetragen werden</v>
      </c>
      <c r="G25" s="158"/>
      <c r="M25" s="48"/>
      <c r="U25" s="23"/>
      <c r="BE25" s="23"/>
      <c r="BH25">
        <v>12</v>
      </c>
      <c r="BI25">
        <v>116.55</v>
      </c>
    </row>
    <row r="26" spans="1:61" hidden="1" x14ac:dyDescent="0.3">
      <c r="A26" s="67"/>
      <c r="B26" s="67"/>
      <c r="C26" s="79"/>
      <c r="G26" s="159" t="s">
        <v>328</v>
      </c>
      <c r="M26" s="48"/>
      <c r="U26" s="23"/>
      <c r="BE26" s="23"/>
      <c r="BH26">
        <v>13</v>
      </c>
      <c r="BI26">
        <v>116.55</v>
      </c>
    </row>
    <row r="27" spans="1:61" ht="19" customHeight="1" thickBot="1" x14ac:dyDescent="0.35">
      <c r="G27" s="158"/>
      <c r="K27" s="143" t="s">
        <v>364</v>
      </c>
      <c r="O27" s="49"/>
      <c r="P27" s="49"/>
      <c r="Q27" s="49"/>
      <c r="R27" s="49"/>
      <c r="AO27">
        <v>4332</v>
      </c>
      <c r="AP27" t="s">
        <v>274</v>
      </c>
      <c r="AQ27" t="s">
        <v>85</v>
      </c>
      <c r="BE27" s="23"/>
      <c r="BH27">
        <v>14</v>
      </c>
      <c r="BI27">
        <v>116.55</v>
      </c>
    </row>
    <row r="28" spans="1:61" ht="49" customHeight="1" x14ac:dyDescent="0.3">
      <c r="A28" s="160" t="s">
        <v>410</v>
      </c>
      <c r="B28" s="4" t="s">
        <v>33</v>
      </c>
      <c r="C28" s="13" t="s">
        <v>387</v>
      </c>
      <c r="D28" s="249" t="s">
        <v>395</v>
      </c>
      <c r="E28" s="137" t="s">
        <v>400</v>
      </c>
      <c r="F28" s="3" t="s">
        <v>438</v>
      </c>
      <c r="G28" s="3" t="s">
        <v>369</v>
      </c>
      <c r="M28" s="50" t="s">
        <v>34</v>
      </c>
      <c r="O28" s="50" t="s">
        <v>394</v>
      </c>
      <c r="P28" s="50" t="s">
        <v>14</v>
      </c>
      <c r="Q28" s="51" t="s">
        <v>13</v>
      </c>
      <c r="R28" s="49"/>
      <c r="S28" s="51" t="s">
        <v>371</v>
      </c>
      <c r="AO28">
        <v>4333</v>
      </c>
      <c r="AP28" t="s">
        <v>275</v>
      </c>
      <c r="AQ28" t="s">
        <v>98</v>
      </c>
      <c r="BE28" s="23"/>
      <c r="BH28">
        <v>15</v>
      </c>
      <c r="BI28">
        <v>116.55</v>
      </c>
    </row>
    <row r="29" spans="1:61" x14ac:dyDescent="0.3">
      <c r="A29" s="161" t="str">
        <f t="shared" ref="A29:A36" si="14">IF($C$8&gt;1,((CONCATENATE(" ",B8," ",A8))),"")</f>
        <v xml:space="preserve"> Mohammed Ali</v>
      </c>
      <c r="B29" s="275">
        <f>3*270</f>
        <v>810</v>
      </c>
      <c r="C29" s="276">
        <f>IF(D29="IPV",0,BG12)</f>
        <v>395.45</v>
      </c>
      <c r="D29" s="277"/>
      <c r="E29" s="276">
        <v>5</v>
      </c>
      <c r="F29" s="278">
        <v>0</v>
      </c>
      <c r="G29" s="278">
        <v>0</v>
      </c>
      <c r="K29" s="143" t="s">
        <v>382</v>
      </c>
      <c r="L29" t="s">
        <v>353</v>
      </c>
      <c r="M29" s="52" t="str">
        <f t="shared" ref="M29:M40" si="15">IF(D29="IPV",(CONCATENATE(A29,", Fr. ",(TEXT(C29,"0.00"))," (IPV)",)),IF(C29&lt;&gt;0,(CONCATENATE(A29,", Fr. ",(TEXT(C29,"0.00"))," ",D29)),""))</f>
        <v xml:space="preserve"> Mohammed Ali, Fr. 395.45 </v>
      </c>
      <c r="N29" s="52" t="str">
        <f t="shared" ref="N29:N39" si="16">IF(C30&lt;&gt;0," / ","")</f>
        <v xml:space="preserve"> / </v>
      </c>
      <c r="O29" s="23" t="s">
        <v>347</v>
      </c>
      <c r="P29" s="23">
        <f>MROUND(IF($F$29&gt;0.01,$F$29/$G$8,E29*$L$16),0.05)</f>
        <v>140</v>
      </c>
      <c r="Q29" s="23">
        <f t="shared" ref="Q29:Q40" si="17">IF(P29&lt;20,20,P29)</f>
        <v>140</v>
      </c>
      <c r="R29" s="49"/>
      <c r="S29" s="23">
        <f t="shared" ref="S29:S34" si="18">IF(G29&gt;100,100,G29)*U29</f>
        <v>0</v>
      </c>
      <c r="T29" s="52" t="str">
        <f>IF(G41&lt;&gt;0,(CONCATENATE(" Verpflegungsabzug Arbeitgeber, Fr. ",(TEXT(S41,"0.00")))),"")</f>
        <v/>
      </c>
      <c r="U29" s="56">
        <f>SUM(D44:F44)</f>
        <v>1</v>
      </c>
      <c r="AO29">
        <v>4334</v>
      </c>
      <c r="AP29" t="s">
        <v>99</v>
      </c>
      <c r="AQ29" t="s">
        <v>98</v>
      </c>
      <c r="BE29" s="23"/>
      <c r="BH29">
        <v>16</v>
      </c>
      <c r="BI29">
        <v>116.55</v>
      </c>
    </row>
    <row r="30" spans="1:61" x14ac:dyDescent="0.3">
      <c r="A30" s="161" t="str">
        <f t="shared" si="14"/>
        <v xml:space="preserve"> Laila Ali</v>
      </c>
      <c r="B30" s="19"/>
      <c r="C30" s="276">
        <f t="shared" ref="C30:C40" si="19">IF(D30="IPV",0,BG13)</f>
        <v>395.45</v>
      </c>
      <c r="D30" s="277"/>
      <c r="E30" s="276">
        <v>5</v>
      </c>
      <c r="F30" s="15">
        <f>IF(E41&gt;1,1,0)</f>
        <v>1</v>
      </c>
      <c r="G30" s="278"/>
      <c r="L30" t="s">
        <v>368</v>
      </c>
      <c r="M30" s="52" t="str">
        <f t="shared" si="15"/>
        <v xml:space="preserve"> Laila Ali, Fr. 395.45 </v>
      </c>
      <c r="N30" s="52" t="str">
        <f t="shared" si="16"/>
        <v xml:space="preserve"> / </v>
      </c>
      <c r="O30" s="23" t="s">
        <v>385</v>
      </c>
      <c r="P30" s="23">
        <f t="shared" ref="P30:P38" si="20">IF(C9&gt;1,((MROUND(IF($F$29&gt;0.01,$F$29/$G$8,E30*$L$16),0.05))),"")</f>
        <v>140</v>
      </c>
      <c r="Q30" s="23">
        <f t="shared" si="17"/>
        <v>140</v>
      </c>
      <c r="R30" s="49"/>
      <c r="S30" s="23">
        <f t="shared" si="18"/>
        <v>0</v>
      </c>
      <c r="U30" s="56">
        <f t="shared" ref="U30:U34" si="21">SUM(D45:F45)</f>
        <v>0</v>
      </c>
      <c r="BE30" s="23"/>
      <c r="BH30">
        <v>17</v>
      </c>
      <c r="BI30">
        <v>116.55</v>
      </c>
    </row>
    <row r="31" spans="1:61" x14ac:dyDescent="0.3">
      <c r="A31" s="161" t="str">
        <f t="shared" si="14"/>
        <v xml:space="preserve"> Junior Ali</v>
      </c>
      <c r="B31" s="19"/>
      <c r="C31" s="276">
        <f t="shared" si="19"/>
        <v>116.55</v>
      </c>
      <c r="D31" s="277"/>
      <c r="E31" s="276">
        <v>5</v>
      </c>
      <c r="F31" s="15">
        <f>IF(F29&gt;1,1,0)</f>
        <v>0</v>
      </c>
      <c r="G31" s="278"/>
      <c r="M31" s="52" t="str">
        <f t="shared" si="15"/>
        <v xml:space="preserve"> Junior Ali, Fr. 116.55 </v>
      </c>
      <c r="N31" s="52" t="str">
        <f t="shared" si="16"/>
        <v/>
      </c>
      <c r="O31" s="23"/>
      <c r="P31" s="23">
        <f t="shared" si="20"/>
        <v>140</v>
      </c>
      <c r="Q31" s="23">
        <f t="shared" si="17"/>
        <v>140</v>
      </c>
      <c r="R31" s="49"/>
      <c r="S31" s="23">
        <f t="shared" si="18"/>
        <v>0</v>
      </c>
      <c r="U31" s="56">
        <f t="shared" si="21"/>
        <v>0</v>
      </c>
      <c r="AO31">
        <v>4663</v>
      </c>
      <c r="AP31" t="s">
        <v>100</v>
      </c>
      <c r="AQ31" t="s">
        <v>101</v>
      </c>
      <c r="BE31" s="23"/>
      <c r="BH31">
        <v>18</v>
      </c>
      <c r="BI31">
        <v>116.55</v>
      </c>
    </row>
    <row r="32" spans="1:61" x14ac:dyDescent="0.3">
      <c r="A32" s="161" t="str">
        <f t="shared" si="14"/>
        <v xml:space="preserve">  </v>
      </c>
      <c r="B32" s="19"/>
      <c r="C32" s="276">
        <f t="shared" si="19"/>
        <v>0</v>
      </c>
      <c r="D32" s="277"/>
      <c r="E32" s="276">
        <v>0</v>
      </c>
      <c r="F32" s="15">
        <f>+F30+F31</f>
        <v>1</v>
      </c>
      <c r="G32" s="278"/>
      <c r="M32" s="52" t="str">
        <f t="shared" si="15"/>
        <v/>
      </c>
      <c r="N32" s="52" t="str">
        <f t="shared" si="16"/>
        <v/>
      </c>
      <c r="O32" s="23"/>
      <c r="P32" s="23" t="str">
        <f t="shared" si="20"/>
        <v/>
      </c>
      <c r="Q32" s="23" t="str">
        <f t="shared" si="17"/>
        <v/>
      </c>
      <c r="R32" s="49"/>
      <c r="S32" s="23">
        <f t="shared" si="18"/>
        <v>0</v>
      </c>
      <c r="U32" s="56">
        <f t="shared" si="21"/>
        <v>0</v>
      </c>
      <c r="AO32">
        <v>4665</v>
      </c>
      <c r="AP32" t="s">
        <v>102</v>
      </c>
      <c r="AQ32" t="s">
        <v>101</v>
      </c>
      <c r="BE32" s="23"/>
      <c r="BH32">
        <v>19</v>
      </c>
      <c r="BI32">
        <v>257.95</v>
      </c>
    </row>
    <row r="33" spans="1:74" x14ac:dyDescent="0.3">
      <c r="A33" s="161" t="str">
        <f t="shared" si="14"/>
        <v xml:space="preserve">  </v>
      </c>
      <c r="B33" s="19"/>
      <c r="C33" s="276">
        <f t="shared" si="19"/>
        <v>0</v>
      </c>
      <c r="D33" s="277"/>
      <c r="E33" s="276">
        <v>0</v>
      </c>
      <c r="F33" s="254" t="str">
        <f>IF(F32=2,"nur pro Person und Tag","")</f>
        <v/>
      </c>
      <c r="G33" s="278"/>
      <c r="M33" s="52" t="str">
        <f t="shared" si="15"/>
        <v/>
      </c>
      <c r="N33" s="52" t="str">
        <f t="shared" si="16"/>
        <v/>
      </c>
      <c r="O33" s="23"/>
      <c r="P33" s="23" t="str">
        <f t="shared" si="20"/>
        <v/>
      </c>
      <c r="Q33" s="23" t="str">
        <f t="shared" si="17"/>
        <v/>
      </c>
      <c r="R33" s="49"/>
      <c r="S33" s="23">
        <f t="shared" si="18"/>
        <v>0</v>
      </c>
      <c r="U33" s="56">
        <f t="shared" si="21"/>
        <v>0</v>
      </c>
      <c r="AO33">
        <v>4800</v>
      </c>
      <c r="AP33" t="s">
        <v>103</v>
      </c>
      <c r="AQ33" t="s">
        <v>101</v>
      </c>
      <c r="BE33" s="23"/>
      <c r="BH33">
        <v>20</v>
      </c>
      <c r="BI33">
        <v>257.95</v>
      </c>
    </row>
    <row r="34" spans="1:74" x14ac:dyDescent="0.3">
      <c r="A34" s="161" t="str">
        <f t="shared" si="14"/>
        <v xml:space="preserve">  </v>
      </c>
      <c r="B34" s="19"/>
      <c r="C34" s="276">
        <f t="shared" si="19"/>
        <v>0</v>
      </c>
      <c r="D34" s="277"/>
      <c r="E34" s="276">
        <v>0</v>
      </c>
      <c r="F34" s="254" t="str">
        <f>IF(F32=2,"ODER nur Total LU ausfüllen!","")</f>
        <v/>
      </c>
      <c r="G34" s="278"/>
      <c r="M34" s="52" t="str">
        <f t="shared" si="15"/>
        <v/>
      </c>
      <c r="N34" s="52" t="str">
        <f t="shared" si="16"/>
        <v/>
      </c>
      <c r="O34" s="23"/>
      <c r="P34" s="23" t="str">
        <f t="shared" si="20"/>
        <v/>
      </c>
      <c r="Q34" s="23" t="str">
        <f t="shared" si="17"/>
        <v/>
      </c>
      <c r="R34" s="49"/>
      <c r="S34" s="23">
        <f t="shared" si="18"/>
        <v>0</v>
      </c>
      <c r="U34" s="56">
        <f t="shared" si="21"/>
        <v>0</v>
      </c>
      <c r="BE34" s="23"/>
      <c r="BH34">
        <v>21</v>
      </c>
      <c r="BI34">
        <v>257.95</v>
      </c>
    </row>
    <row r="35" spans="1:74" hidden="1" x14ac:dyDescent="0.3">
      <c r="A35" s="161" t="str">
        <f t="shared" si="14"/>
        <v xml:space="preserve">  </v>
      </c>
      <c r="B35" s="19"/>
      <c r="C35" s="276">
        <f t="shared" si="19"/>
        <v>0</v>
      </c>
      <c r="D35" s="155"/>
      <c r="E35" s="276"/>
      <c r="F35" s="16"/>
      <c r="G35" s="132" t="s">
        <v>324</v>
      </c>
      <c r="M35" s="52" t="str">
        <f t="shared" si="15"/>
        <v/>
      </c>
      <c r="N35" s="52" t="str">
        <f t="shared" si="16"/>
        <v/>
      </c>
      <c r="O35" s="23"/>
      <c r="P35" s="23" t="str">
        <f t="shared" si="20"/>
        <v/>
      </c>
      <c r="Q35" s="23" t="str">
        <f t="shared" si="17"/>
        <v/>
      </c>
      <c r="R35" s="49"/>
      <c r="S35" s="49"/>
      <c r="BE35" s="23"/>
      <c r="BH35">
        <v>22</v>
      </c>
      <c r="BI35">
        <v>257.95</v>
      </c>
    </row>
    <row r="36" spans="1:74" hidden="1" x14ac:dyDescent="0.3">
      <c r="A36" s="161" t="str">
        <f t="shared" si="14"/>
        <v xml:space="preserve">  </v>
      </c>
      <c r="B36" s="19"/>
      <c r="C36" s="276">
        <f t="shared" si="19"/>
        <v>0</v>
      </c>
      <c r="D36" s="155"/>
      <c r="E36" s="276"/>
      <c r="F36" s="16"/>
      <c r="G36" s="132" t="s">
        <v>324</v>
      </c>
      <c r="M36" s="52" t="str">
        <f t="shared" si="15"/>
        <v/>
      </c>
      <c r="N36" s="52" t="str">
        <f t="shared" si="16"/>
        <v/>
      </c>
      <c r="O36" s="23"/>
      <c r="P36" s="23" t="str">
        <f t="shared" si="20"/>
        <v/>
      </c>
      <c r="Q36" s="23" t="str">
        <f t="shared" si="17"/>
        <v/>
      </c>
      <c r="R36" s="49"/>
      <c r="S36" s="49"/>
      <c r="BE36" s="23"/>
      <c r="BH36">
        <v>23</v>
      </c>
      <c r="BI36">
        <v>257.95</v>
      </c>
    </row>
    <row r="37" spans="1:74" hidden="1" x14ac:dyDescent="0.3">
      <c r="A37" s="162"/>
      <c r="B37" s="19"/>
      <c r="C37" s="276">
        <f t="shared" si="19"/>
        <v>0</v>
      </c>
      <c r="D37" s="155"/>
      <c r="E37" s="276"/>
      <c r="F37" s="16"/>
      <c r="G37" s="132" t="s">
        <v>324</v>
      </c>
      <c r="M37" s="52" t="str">
        <f t="shared" si="15"/>
        <v/>
      </c>
      <c r="N37" s="52" t="str">
        <f t="shared" si="16"/>
        <v/>
      </c>
      <c r="O37" s="23"/>
      <c r="P37" s="23">
        <f t="shared" si="20"/>
        <v>0</v>
      </c>
      <c r="Q37" s="23">
        <f t="shared" si="17"/>
        <v>20</v>
      </c>
      <c r="R37" s="49"/>
      <c r="S37" s="49"/>
      <c r="BE37" s="23"/>
      <c r="BH37">
        <v>24</v>
      </c>
      <c r="BI37">
        <v>257.95</v>
      </c>
    </row>
    <row r="38" spans="1:74" hidden="1" x14ac:dyDescent="0.3">
      <c r="A38" s="162"/>
      <c r="B38" s="19"/>
      <c r="C38" s="276">
        <f t="shared" si="19"/>
        <v>0</v>
      </c>
      <c r="D38" s="155"/>
      <c r="E38" s="276"/>
      <c r="F38" s="16"/>
      <c r="G38" s="132" t="s">
        <v>324</v>
      </c>
      <c r="M38" s="52" t="str">
        <f t="shared" si="15"/>
        <v/>
      </c>
      <c r="N38" s="52" t="str">
        <f t="shared" si="16"/>
        <v/>
      </c>
      <c r="O38" s="23"/>
      <c r="P38" s="23" t="str">
        <f t="shared" si="20"/>
        <v/>
      </c>
      <c r="Q38" s="23" t="str">
        <f t="shared" si="17"/>
        <v/>
      </c>
      <c r="R38" s="49"/>
      <c r="S38" s="49"/>
      <c r="AO38">
        <v>4802</v>
      </c>
      <c r="AP38" t="s">
        <v>104</v>
      </c>
      <c r="AQ38" t="s">
        <v>101</v>
      </c>
      <c r="BE38" s="23"/>
      <c r="BH38">
        <v>25</v>
      </c>
      <c r="BI38">
        <v>257.95</v>
      </c>
    </row>
    <row r="39" spans="1:74" ht="14.15" hidden="1" customHeight="1" x14ac:dyDescent="0.3">
      <c r="A39" s="162" t="str">
        <f>IF(C14&gt;1,A14,"")</f>
        <v/>
      </c>
      <c r="B39" s="19"/>
      <c r="C39" s="276">
        <f t="shared" si="19"/>
        <v>0</v>
      </c>
      <c r="D39" s="155"/>
      <c r="E39" s="276"/>
      <c r="F39" s="16"/>
      <c r="G39" s="132" t="s">
        <v>324</v>
      </c>
      <c r="M39" s="52" t="str">
        <f t="shared" si="15"/>
        <v/>
      </c>
      <c r="N39" s="52" t="str">
        <f t="shared" si="16"/>
        <v/>
      </c>
      <c r="O39" s="23"/>
      <c r="P39" s="23" t="str">
        <f>IF(C14&gt;1,((MROUND(IF($F$29&gt;0.01,$F$29/$G$8,E39*$L$16),0.05))),"")</f>
        <v/>
      </c>
      <c r="Q39" s="23" t="str">
        <f t="shared" si="17"/>
        <v/>
      </c>
      <c r="R39" s="49"/>
      <c r="S39" s="49"/>
      <c r="AO39">
        <v>4803</v>
      </c>
      <c r="AP39" t="s">
        <v>105</v>
      </c>
      <c r="AQ39" t="s">
        <v>101</v>
      </c>
      <c r="BE39" s="23"/>
      <c r="BH39">
        <v>26</v>
      </c>
      <c r="BI39">
        <v>394.45</v>
      </c>
      <c r="BV39" s="22" t="s">
        <v>324</v>
      </c>
    </row>
    <row r="40" spans="1:74" ht="14.15" hidden="1" customHeight="1" x14ac:dyDescent="0.3">
      <c r="A40" s="162" t="str">
        <f>IF(C15&gt;1,A15,"")</f>
        <v/>
      </c>
      <c r="B40" s="19"/>
      <c r="C40" s="276">
        <f t="shared" si="19"/>
        <v>0</v>
      </c>
      <c r="D40" s="155"/>
      <c r="E40" s="276"/>
      <c r="F40" s="17"/>
      <c r="G40" s="132" t="s">
        <v>324</v>
      </c>
      <c r="M40" s="52" t="str">
        <f t="shared" si="15"/>
        <v/>
      </c>
      <c r="N40" s="52"/>
      <c r="O40" s="23"/>
      <c r="P40" s="23" t="str">
        <f>IF(C15&gt;1,((MROUND(IF($F$29&gt;0.01,$F$29/$G$8,E40*$L$16),0.05))),"")</f>
        <v/>
      </c>
      <c r="Q40" s="23" t="str">
        <f t="shared" si="17"/>
        <v/>
      </c>
      <c r="R40" s="49"/>
      <c r="S40" s="49"/>
      <c r="BE40" s="23"/>
      <c r="BH40">
        <v>27</v>
      </c>
      <c r="BI40">
        <v>394.45</v>
      </c>
      <c r="BV40" s="22" t="s">
        <v>324</v>
      </c>
    </row>
    <row r="41" spans="1:74" ht="14.5" thickBot="1" x14ac:dyDescent="0.35">
      <c r="A41" s="68" t="s">
        <v>411</v>
      </c>
      <c r="B41" s="20">
        <f>SUM(B29)</f>
        <v>810</v>
      </c>
      <c r="C41" s="136">
        <f>VALUE(SUM(C29:C40))</f>
        <v>907.44999999999993</v>
      </c>
      <c r="D41" s="250"/>
      <c r="E41" s="138">
        <f>SUM(E29:E40)*L16</f>
        <v>420</v>
      </c>
      <c r="F41" s="18">
        <f>IF(G8=0,0,Q41)</f>
        <v>420</v>
      </c>
      <c r="G41" s="18">
        <f>SUM(S29:S34)</f>
        <v>0</v>
      </c>
      <c r="O41" s="49"/>
      <c r="P41" s="49"/>
      <c r="Q41" s="49">
        <f>SUM(Q29:Q36)</f>
        <v>420</v>
      </c>
      <c r="R41" s="49"/>
      <c r="S41" s="49">
        <f>-SUM(S29:S40)</f>
        <v>0</v>
      </c>
      <c r="AO41">
        <v>4805</v>
      </c>
      <c r="AP41" t="s">
        <v>106</v>
      </c>
      <c r="AQ41" t="s">
        <v>101</v>
      </c>
      <c r="BE41" s="23"/>
      <c r="BH41">
        <v>28</v>
      </c>
      <c r="BI41">
        <v>395.45</v>
      </c>
    </row>
    <row r="42" spans="1:74" ht="14.5" thickBot="1" x14ac:dyDescent="0.35">
      <c r="C42" s="29"/>
      <c r="E42" s="163" t="str">
        <f>IF(E29&gt;7.5,"Achtung. Die Pauschale für die Gemeinde beträgt Fr. 7.50 pro Person","")</f>
        <v/>
      </c>
      <c r="F42"/>
      <c r="G42" s="29"/>
      <c r="N42" s="49"/>
      <c r="O42" s="49"/>
      <c r="P42" s="49"/>
      <c r="Q42" s="49"/>
      <c r="R42" s="49"/>
      <c r="S42" s="49"/>
      <c r="AO42">
        <v>4812</v>
      </c>
      <c r="AP42" t="s">
        <v>103</v>
      </c>
      <c r="AQ42" t="s">
        <v>101</v>
      </c>
      <c r="BE42" s="23"/>
      <c r="BH42">
        <v>29</v>
      </c>
      <c r="BI42">
        <v>395.45</v>
      </c>
    </row>
    <row r="43" spans="1:74" ht="42.65" customHeight="1" x14ac:dyDescent="0.3">
      <c r="A43" s="160" t="s">
        <v>412</v>
      </c>
      <c r="B43" s="119" t="s">
        <v>329</v>
      </c>
      <c r="C43" s="6" t="s">
        <v>435</v>
      </c>
      <c r="D43" s="6" t="s">
        <v>386</v>
      </c>
      <c r="E43" s="6" t="s">
        <v>433</v>
      </c>
      <c r="F43" s="6" t="s">
        <v>332</v>
      </c>
      <c r="G43" s="3" t="s">
        <v>431</v>
      </c>
      <c r="M43" s="51" t="s">
        <v>10</v>
      </c>
      <c r="N43" s="51" t="s">
        <v>15</v>
      </c>
      <c r="O43" s="51" t="s">
        <v>16</v>
      </c>
      <c r="P43" s="51" t="s">
        <v>17</v>
      </c>
      <c r="Q43" s="49"/>
      <c r="R43" s="42" t="s">
        <v>18</v>
      </c>
      <c r="S43" s="42" t="s">
        <v>19</v>
      </c>
      <c r="T43" s="42" t="s">
        <v>20</v>
      </c>
      <c r="V43" s="42" t="s">
        <v>55</v>
      </c>
      <c r="W43" s="55" t="s">
        <v>54</v>
      </c>
      <c r="X43" s="42" t="s">
        <v>56</v>
      </c>
      <c r="Y43" s="42" t="s">
        <v>56</v>
      </c>
      <c r="Z43" s="42" t="s">
        <v>56</v>
      </c>
      <c r="AA43" s="42" t="s">
        <v>56</v>
      </c>
      <c r="AO43">
        <v>5032</v>
      </c>
      <c r="AP43" t="s">
        <v>111</v>
      </c>
      <c r="AQ43" t="s">
        <v>112</v>
      </c>
      <c r="BE43" s="23"/>
      <c r="BH43">
        <v>30</v>
      </c>
      <c r="BI43">
        <v>395.45</v>
      </c>
    </row>
    <row r="44" spans="1:74" x14ac:dyDescent="0.3">
      <c r="A44" s="161" t="str">
        <f t="shared" ref="A44:A51" si="22">CONCATENATE(A29)</f>
        <v xml:space="preserve"> Mohammed Ali</v>
      </c>
      <c r="B44" s="279" t="s">
        <v>443</v>
      </c>
      <c r="C44" s="276">
        <v>4200</v>
      </c>
      <c r="D44" s="280">
        <v>1</v>
      </c>
      <c r="E44" s="280">
        <v>0</v>
      </c>
      <c r="F44" s="280">
        <v>0</v>
      </c>
      <c r="G44" s="8">
        <f>IF(C44&gt;1,((MROUND(IF(C44&gt;0,-M44-N44,0),-0.05))),"")</f>
        <v>-400</v>
      </c>
      <c r="I44" s="251"/>
      <c r="M44" s="23">
        <f t="shared" ref="M44:M51" si="23">IF((D44+E44+F44)&gt;0.01,(+D44*$R$44+E44*$S$44+F44*$T$44),0)</f>
        <v>400</v>
      </c>
      <c r="N44" s="49">
        <f t="shared" ref="N44:N51" si="24">MROUND((-IF(M44&gt;0,($P$44/$M$52*M44),0)),-0.05)</f>
        <v>0</v>
      </c>
      <c r="O44" s="23">
        <f>IF(E52&gt;0.01,650,550)</f>
        <v>550</v>
      </c>
      <c r="P44" s="23">
        <f>IF(M52&gt;O44,M52-O44,0)</f>
        <v>0</v>
      </c>
      <c r="Q44" s="49"/>
      <c r="R44" s="49">
        <v>400</v>
      </c>
      <c r="S44" s="49">
        <v>200</v>
      </c>
      <c r="T44" s="49">
        <v>200</v>
      </c>
      <c r="V44" s="23">
        <f>C44</f>
        <v>4200</v>
      </c>
      <c r="W44" s="56">
        <f t="shared" ref="W44:W49" si="25">SUM(D44:F44)</f>
        <v>1</v>
      </c>
      <c r="X44">
        <f t="shared" ref="X44:Y49" si="26">IF(V44&gt;0.0001,1,0)</f>
        <v>1</v>
      </c>
      <c r="Y44">
        <f t="shared" si="26"/>
        <v>1</v>
      </c>
      <c r="Z44">
        <f>+Y44+X44</f>
        <v>2</v>
      </c>
      <c r="AA44">
        <f>IF(Z44=1,100,0)</f>
        <v>0</v>
      </c>
      <c r="AO44">
        <v>5033</v>
      </c>
      <c r="AP44" t="s">
        <v>277</v>
      </c>
      <c r="AQ44" t="s">
        <v>112</v>
      </c>
      <c r="BE44" s="23"/>
      <c r="BH44">
        <v>31</v>
      </c>
      <c r="BI44">
        <v>395.45</v>
      </c>
    </row>
    <row r="45" spans="1:74" x14ac:dyDescent="0.3">
      <c r="A45" s="161" t="str">
        <f t="shared" si="22"/>
        <v xml:space="preserve"> Laila Ali</v>
      </c>
      <c r="B45" s="279"/>
      <c r="C45" s="276"/>
      <c r="D45" s="280"/>
      <c r="E45" s="280"/>
      <c r="F45" s="280"/>
      <c r="G45" s="8" t="str">
        <f>IF(C45&gt;1,((MROUND(IF(C45&gt;0,-M45-N45,0),-0.05))),"")</f>
        <v/>
      </c>
      <c r="M45" s="23">
        <f t="shared" si="23"/>
        <v>0</v>
      </c>
      <c r="N45" s="49">
        <f t="shared" si="24"/>
        <v>0</v>
      </c>
      <c r="O45" s="49"/>
      <c r="P45" s="49"/>
      <c r="Q45" s="49"/>
      <c r="R45" s="49"/>
      <c r="S45" s="49"/>
      <c r="V45" s="23">
        <f>C45</f>
        <v>0</v>
      </c>
      <c r="W45" s="56">
        <f t="shared" si="25"/>
        <v>0</v>
      </c>
      <c r="X45">
        <f t="shared" si="26"/>
        <v>0</v>
      </c>
      <c r="Y45">
        <f t="shared" si="26"/>
        <v>0</v>
      </c>
      <c r="Z45">
        <f>+Y45+X45</f>
        <v>0</v>
      </c>
      <c r="AA45">
        <f>IF(Z45=1,100,0)</f>
        <v>0</v>
      </c>
      <c r="BE45" s="23"/>
      <c r="BH45">
        <v>32</v>
      </c>
      <c r="BI45">
        <v>395.45</v>
      </c>
    </row>
    <row r="46" spans="1:74" x14ac:dyDescent="0.3">
      <c r="A46" s="161" t="str">
        <f t="shared" si="22"/>
        <v xml:space="preserve"> Junior Ali</v>
      </c>
      <c r="B46" s="279"/>
      <c r="C46" s="276"/>
      <c r="D46" s="280"/>
      <c r="E46" s="280"/>
      <c r="F46" s="280"/>
      <c r="G46" s="8" t="str">
        <f>IF(C46&gt;1,((MROUND(IF(C46&gt;0,-M46-N46,0),-0.05))),"")</f>
        <v/>
      </c>
      <c r="M46" s="23">
        <f t="shared" si="23"/>
        <v>0</v>
      </c>
      <c r="N46" s="49">
        <f t="shared" si="24"/>
        <v>0</v>
      </c>
      <c r="O46" s="49"/>
      <c r="P46" s="49"/>
      <c r="Q46" s="49"/>
      <c r="R46" s="49"/>
      <c r="S46" s="49"/>
      <c r="V46" s="23">
        <f>C46</f>
        <v>0</v>
      </c>
      <c r="W46" s="56">
        <f t="shared" si="25"/>
        <v>0</v>
      </c>
      <c r="X46">
        <f t="shared" si="26"/>
        <v>0</v>
      </c>
      <c r="Y46">
        <f t="shared" si="26"/>
        <v>0</v>
      </c>
      <c r="Z46">
        <f>+Y46+X46</f>
        <v>0</v>
      </c>
      <c r="AA46">
        <f>IF(Z46=1,100,0)</f>
        <v>0</v>
      </c>
      <c r="AO46">
        <v>5034</v>
      </c>
      <c r="AP46" t="s">
        <v>118</v>
      </c>
      <c r="AQ46" t="s">
        <v>112</v>
      </c>
      <c r="BE46" s="23"/>
      <c r="BH46">
        <v>33</v>
      </c>
      <c r="BI46">
        <v>395.45</v>
      </c>
    </row>
    <row r="47" spans="1:74" x14ac:dyDescent="0.3">
      <c r="A47" s="161" t="str">
        <f t="shared" si="22"/>
        <v xml:space="preserve">  </v>
      </c>
      <c r="B47" s="279"/>
      <c r="C47" s="276"/>
      <c r="D47" s="280"/>
      <c r="E47" s="280"/>
      <c r="F47" s="280"/>
      <c r="G47" s="8" t="str">
        <f>IF(C47&gt;1,((MROUND(IF(C47&gt;0,-M47-N47,0),-0.05))),"")</f>
        <v/>
      </c>
      <c r="M47" s="23">
        <f t="shared" si="23"/>
        <v>0</v>
      </c>
      <c r="N47" s="49">
        <f t="shared" si="24"/>
        <v>0</v>
      </c>
      <c r="O47" s="49"/>
      <c r="P47" s="49"/>
      <c r="Q47" s="49"/>
      <c r="R47" s="49"/>
      <c r="S47" s="49"/>
      <c r="V47" s="23">
        <f>C47</f>
        <v>0</v>
      </c>
      <c r="W47" s="56">
        <f t="shared" si="25"/>
        <v>0</v>
      </c>
      <c r="X47">
        <f t="shared" si="26"/>
        <v>0</v>
      </c>
      <c r="Y47">
        <f t="shared" si="26"/>
        <v>0</v>
      </c>
      <c r="Z47">
        <f>+Y47+X47</f>
        <v>0</v>
      </c>
      <c r="AA47">
        <f>IF(Z47=1,100,0)</f>
        <v>0</v>
      </c>
      <c r="AB47">
        <f>SUM(AA44:AA47)</f>
        <v>0</v>
      </c>
      <c r="AC47" t="str">
        <f>IF(AB47&gt;99,"Pensum eintragen für Berechnung EFB","")</f>
        <v/>
      </c>
      <c r="AO47">
        <v>5035</v>
      </c>
      <c r="AP47" t="s">
        <v>119</v>
      </c>
      <c r="AQ47" t="s">
        <v>112</v>
      </c>
      <c r="BE47" s="23"/>
      <c r="BH47">
        <v>34</v>
      </c>
      <c r="BI47">
        <v>395.45</v>
      </c>
    </row>
    <row r="48" spans="1:74" ht="14.15" hidden="1" customHeight="1" x14ac:dyDescent="0.3">
      <c r="A48" s="161" t="str">
        <f t="shared" si="22"/>
        <v xml:space="preserve">  </v>
      </c>
      <c r="B48" s="281"/>
      <c r="C48" s="276"/>
      <c r="D48" s="280"/>
      <c r="E48" s="280"/>
      <c r="F48" s="280"/>
      <c r="G48" s="8">
        <f t="shared" ref="G48:G49" si="27">IF(C48&gt;0,-M48-N48,0)</f>
        <v>0</v>
      </c>
      <c r="M48" s="23">
        <f t="shared" si="23"/>
        <v>0</v>
      </c>
      <c r="N48" s="49">
        <f t="shared" si="24"/>
        <v>0</v>
      </c>
      <c r="O48" s="49"/>
      <c r="P48" s="49"/>
      <c r="Q48" s="49"/>
      <c r="R48" s="49"/>
      <c r="S48" s="49"/>
      <c r="W48" s="56">
        <f t="shared" si="25"/>
        <v>0</v>
      </c>
      <c r="Y48">
        <f t="shared" si="26"/>
        <v>0</v>
      </c>
      <c r="AO48">
        <v>5036</v>
      </c>
      <c r="AP48" t="s">
        <v>120</v>
      </c>
      <c r="AQ48" t="s">
        <v>112</v>
      </c>
      <c r="BE48" s="23"/>
      <c r="BH48">
        <v>35</v>
      </c>
      <c r="BI48">
        <v>395.45</v>
      </c>
    </row>
    <row r="49" spans="1:61" ht="14.15" hidden="1" customHeight="1" x14ac:dyDescent="0.3">
      <c r="A49" s="161" t="str">
        <f t="shared" si="22"/>
        <v xml:space="preserve">  </v>
      </c>
      <c r="B49" s="281"/>
      <c r="C49" s="276"/>
      <c r="D49" s="280"/>
      <c r="E49" s="280"/>
      <c r="F49" s="280"/>
      <c r="G49" s="8">
        <f t="shared" si="27"/>
        <v>0</v>
      </c>
      <c r="M49" s="23">
        <f t="shared" si="23"/>
        <v>0</v>
      </c>
      <c r="N49" s="49">
        <f t="shared" si="24"/>
        <v>0</v>
      </c>
      <c r="O49" s="49"/>
      <c r="P49" s="49"/>
      <c r="Q49" s="49"/>
      <c r="R49" s="49"/>
      <c r="S49" s="49"/>
      <c r="W49" s="56">
        <f t="shared" si="25"/>
        <v>0</v>
      </c>
      <c r="Y49">
        <f t="shared" si="26"/>
        <v>0</v>
      </c>
      <c r="AO49">
        <v>5037</v>
      </c>
      <c r="AP49" t="s">
        <v>121</v>
      </c>
      <c r="AQ49" t="s">
        <v>112</v>
      </c>
      <c r="BE49" s="23"/>
      <c r="BH49">
        <v>36</v>
      </c>
      <c r="BI49">
        <v>395.45</v>
      </c>
    </row>
    <row r="50" spans="1:61" ht="14.15" hidden="1" customHeight="1" x14ac:dyDescent="0.3">
      <c r="A50" s="161" t="str">
        <f t="shared" si="22"/>
        <v xml:space="preserve">  </v>
      </c>
      <c r="B50" s="281"/>
      <c r="C50" s="282"/>
      <c r="D50" s="280"/>
      <c r="E50" s="280"/>
      <c r="F50" s="280"/>
      <c r="G50" s="5" t="str">
        <f>IF(C50&gt;0,M50+N50,"")</f>
        <v/>
      </c>
      <c r="H50" s="22" t="s">
        <v>324</v>
      </c>
      <c r="I50" s="22"/>
      <c r="J50" s="22"/>
      <c r="K50" s="22"/>
      <c r="M50" s="23">
        <f t="shared" si="23"/>
        <v>0</v>
      </c>
      <c r="N50" s="49">
        <f t="shared" si="24"/>
        <v>0</v>
      </c>
      <c r="O50" s="49"/>
      <c r="P50" s="49"/>
      <c r="Q50" s="49"/>
      <c r="R50" s="49"/>
      <c r="S50" s="49"/>
      <c r="AO50">
        <v>5040</v>
      </c>
      <c r="AP50" t="s">
        <v>122</v>
      </c>
      <c r="AQ50" t="s">
        <v>123</v>
      </c>
      <c r="BE50" s="23"/>
      <c r="BH50">
        <v>37</v>
      </c>
      <c r="BI50">
        <v>395.45</v>
      </c>
    </row>
    <row r="51" spans="1:61" ht="14.15" hidden="1" customHeight="1" x14ac:dyDescent="0.3">
      <c r="A51" s="161" t="str">
        <f t="shared" si="22"/>
        <v xml:space="preserve">  </v>
      </c>
      <c r="B51" s="281"/>
      <c r="C51" s="282"/>
      <c r="D51" s="280"/>
      <c r="E51" s="280"/>
      <c r="F51" s="280"/>
      <c r="G51" s="5" t="str">
        <f>IF(C51&gt;0,M51+N51,"")</f>
        <v/>
      </c>
      <c r="H51" s="22" t="s">
        <v>324</v>
      </c>
      <c r="I51" s="22"/>
      <c r="J51" s="22"/>
      <c r="K51" s="22"/>
      <c r="M51" s="23">
        <f t="shared" si="23"/>
        <v>0</v>
      </c>
      <c r="N51" s="49">
        <f t="shared" si="24"/>
        <v>0</v>
      </c>
      <c r="O51" s="49"/>
      <c r="P51" s="49"/>
      <c r="Q51" s="49"/>
      <c r="R51" s="49"/>
      <c r="S51" s="49"/>
      <c r="AO51">
        <v>5042</v>
      </c>
      <c r="AP51" t="s">
        <v>124</v>
      </c>
      <c r="AQ51" t="s">
        <v>112</v>
      </c>
      <c r="BE51" s="23"/>
      <c r="BH51">
        <v>38</v>
      </c>
      <c r="BI51">
        <v>395.45</v>
      </c>
    </row>
    <row r="52" spans="1:61" ht="14.5" thickBot="1" x14ac:dyDescent="0.35">
      <c r="A52" s="68"/>
      <c r="B52" s="129" t="s">
        <v>8</v>
      </c>
      <c r="C52" s="142">
        <f>SUM(C44:C51)</f>
        <v>4200</v>
      </c>
      <c r="D52" s="34">
        <f>SUM(D44:D51)</f>
        <v>1</v>
      </c>
      <c r="E52" s="34">
        <f>SUM(E44:E51)</f>
        <v>0</v>
      </c>
      <c r="F52" s="34">
        <f>SUM(F44:F51)</f>
        <v>0</v>
      </c>
      <c r="G52" s="36">
        <f>(SUM(G44:G51))</f>
        <v>-400</v>
      </c>
      <c r="L52" t="s">
        <v>21</v>
      </c>
      <c r="M52" s="49">
        <f>SUM(M44:M51)</f>
        <v>400</v>
      </c>
      <c r="N52" s="49"/>
      <c r="O52" s="49"/>
      <c r="P52" s="49"/>
      <c r="Q52" s="49"/>
      <c r="R52" s="49"/>
      <c r="S52" s="49"/>
      <c r="AO52">
        <v>5043</v>
      </c>
      <c r="AP52" t="s">
        <v>125</v>
      </c>
      <c r="AQ52" t="s">
        <v>123</v>
      </c>
      <c r="BE52" s="23"/>
      <c r="BH52">
        <v>39</v>
      </c>
      <c r="BI52">
        <v>395.45</v>
      </c>
    </row>
    <row r="53" spans="1:61" ht="14.5" thickBot="1" x14ac:dyDescent="0.35">
      <c r="A53" s="68"/>
      <c r="C53" s="79"/>
      <c r="D53" s="252" t="str">
        <f>IF(AND(D45&gt;0.001,E45&gt;0.001),"Achtung! Mehrere Anstellungen pro Zeile. Bitte korrigieren.","")</f>
        <v/>
      </c>
      <c r="E53" s="253" t="str">
        <f>IF(AND(D44&gt;0.001,E44&gt;0.001),"Achtung! Mehrere Anstellungen pro Zeile. Bitte korrigieren.","")</f>
        <v/>
      </c>
      <c r="F53" s="109"/>
      <c r="G53" s="23"/>
      <c r="M53" s="49"/>
      <c r="N53" s="49"/>
      <c r="O53" s="49"/>
      <c r="P53" s="49"/>
      <c r="Q53" s="49"/>
      <c r="R53" s="49" t="s">
        <v>53</v>
      </c>
      <c r="S53" s="49"/>
      <c r="AO53">
        <v>5044</v>
      </c>
      <c r="AP53" t="s">
        <v>126</v>
      </c>
      <c r="AQ53" t="s">
        <v>123</v>
      </c>
      <c r="BE53" s="23"/>
      <c r="BH53">
        <v>40</v>
      </c>
      <c r="BI53">
        <v>395.45</v>
      </c>
    </row>
    <row r="54" spans="1:61" ht="37" customHeight="1" x14ac:dyDescent="0.3">
      <c r="A54" s="160" t="s">
        <v>413</v>
      </c>
      <c r="B54" s="4" t="s">
        <v>409</v>
      </c>
      <c r="C54" s="321" t="s">
        <v>434</v>
      </c>
      <c r="D54" s="322"/>
      <c r="E54" s="322"/>
      <c r="F54" s="322"/>
      <c r="G54" s="323"/>
      <c r="M54" s="50" t="s">
        <v>32</v>
      </c>
      <c r="N54" s="50" t="s">
        <v>31</v>
      </c>
      <c r="P54" s="50"/>
      <c r="Q54" s="50"/>
      <c r="R54" s="49"/>
      <c r="S54" s="49"/>
      <c r="AO54">
        <v>4813</v>
      </c>
      <c r="AP54" t="s">
        <v>107</v>
      </c>
      <c r="AQ54" t="s">
        <v>101</v>
      </c>
      <c r="BE54" s="23"/>
      <c r="BH54">
        <v>47</v>
      </c>
      <c r="BI54">
        <v>395.45</v>
      </c>
    </row>
    <row r="55" spans="1:61" x14ac:dyDescent="0.3">
      <c r="A55" s="161" t="str">
        <f t="shared" ref="A55:A60" si="28">CONCATENATE(A44)</f>
        <v xml:space="preserve"> Mohammed Ali</v>
      </c>
      <c r="B55" s="283">
        <v>5</v>
      </c>
      <c r="C55" s="276">
        <v>125</v>
      </c>
      <c r="D55" s="324" t="s">
        <v>383</v>
      </c>
      <c r="E55" s="324"/>
      <c r="F55" s="324"/>
      <c r="G55" s="325"/>
      <c r="M55" s="52" t="str">
        <f t="shared" ref="M55:M60" si="29">IF(C55&lt;&gt;0,(CONCATENATE(A55,", ",D55,", Fr. ",(TEXT(C55,"0.00")))),"")</f>
        <v xml:space="preserve"> Mohammed Ali, Abo für Arbeitsweg, Fr. 125.00</v>
      </c>
      <c r="N55" s="52" t="str">
        <f t="shared" ref="N55:N61" si="30">IF(C56&lt;&gt;0," / ","")</f>
        <v/>
      </c>
      <c r="P55" s="52"/>
      <c r="Q55" s="52"/>
      <c r="R55" s="49"/>
      <c r="S55" s="49"/>
      <c r="AO55">
        <v>4814</v>
      </c>
      <c r="AP55" t="s">
        <v>108</v>
      </c>
      <c r="AQ55" t="s">
        <v>101</v>
      </c>
      <c r="BE55" s="23"/>
      <c r="BH55">
        <v>48</v>
      </c>
      <c r="BI55">
        <v>395.45</v>
      </c>
    </row>
    <row r="56" spans="1:61" x14ac:dyDescent="0.3">
      <c r="A56" s="161" t="str">
        <f t="shared" si="28"/>
        <v xml:space="preserve"> Laila Ali</v>
      </c>
      <c r="B56" s="283"/>
      <c r="C56" s="276"/>
      <c r="D56" s="324"/>
      <c r="E56" s="324"/>
      <c r="F56" s="324"/>
      <c r="G56" s="325"/>
      <c r="M56" s="52" t="str">
        <f t="shared" si="29"/>
        <v/>
      </c>
      <c r="N56" s="52" t="str">
        <f t="shared" si="30"/>
        <v/>
      </c>
      <c r="P56" s="52" t="str">
        <f>IF(E55&gt;0,(CONCATENATE(#REF!,", ",G56,", Fr. ",(TEXT(E55,"0.00")))),"")</f>
        <v/>
      </c>
      <c r="Q56" s="52" t="str">
        <f t="shared" ref="Q56:Q61" si="31">IF(E57&gt;0," / ","")</f>
        <v/>
      </c>
      <c r="R56" s="49"/>
      <c r="S56" s="49"/>
      <c r="AO56">
        <v>4852</v>
      </c>
      <c r="AP56" t="s">
        <v>109</v>
      </c>
      <c r="AQ56" t="s">
        <v>101</v>
      </c>
      <c r="BE56" s="23"/>
      <c r="BH56">
        <v>49</v>
      </c>
      <c r="BI56">
        <v>395.45</v>
      </c>
    </row>
    <row r="57" spans="1:61" x14ac:dyDescent="0.3">
      <c r="A57" s="161" t="str">
        <f t="shared" si="28"/>
        <v xml:space="preserve"> Junior Ali</v>
      </c>
      <c r="B57" s="283"/>
      <c r="C57" s="276"/>
      <c r="D57" s="324"/>
      <c r="E57" s="324"/>
      <c r="F57" s="324"/>
      <c r="G57" s="325"/>
      <c r="M57" s="52" t="str">
        <f t="shared" si="29"/>
        <v/>
      </c>
      <c r="N57" s="52" t="str">
        <f t="shared" si="30"/>
        <v/>
      </c>
      <c r="P57" s="52" t="str">
        <f>IF(E57&gt;0,(CONCATENATE(#REF!,", ",G57,", Fr. ",(TEXT(E57,"0.00")))),"")</f>
        <v/>
      </c>
      <c r="Q57" s="52" t="str">
        <f t="shared" si="31"/>
        <v/>
      </c>
      <c r="R57" s="49"/>
      <c r="S57" s="49"/>
      <c r="AO57">
        <v>4853</v>
      </c>
      <c r="AP57" t="s">
        <v>110</v>
      </c>
      <c r="AQ57" t="s">
        <v>101</v>
      </c>
      <c r="BE57" s="23"/>
      <c r="BH57">
        <v>50</v>
      </c>
      <c r="BI57">
        <v>395.45</v>
      </c>
    </row>
    <row r="58" spans="1:61" x14ac:dyDescent="0.3">
      <c r="A58" s="161" t="str">
        <f t="shared" si="28"/>
        <v xml:space="preserve">  </v>
      </c>
      <c r="B58" s="283"/>
      <c r="C58" s="276"/>
      <c r="D58" s="324"/>
      <c r="E58" s="324"/>
      <c r="F58" s="324"/>
      <c r="G58" s="325"/>
      <c r="M58" s="52" t="str">
        <f t="shared" si="29"/>
        <v/>
      </c>
      <c r="N58" s="52" t="str">
        <f t="shared" si="30"/>
        <v/>
      </c>
      <c r="P58" s="52" t="str">
        <f>IF(E58&gt;0,(CONCATENATE(#REF!,", ",G58,", Fr. ",(TEXT(E58,"0.00")))),"")</f>
        <v/>
      </c>
      <c r="Q58" s="52" t="str">
        <f t="shared" si="31"/>
        <v/>
      </c>
      <c r="R58" s="49"/>
      <c r="S58" s="49"/>
      <c r="AO58">
        <v>4856</v>
      </c>
      <c r="AP58" t="s">
        <v>110</v>
      </c>
      <c r="AQ58" t="s">
        <v>101</v>
      </c>
      <c r="BE58" s="23"/>
      <c r="BH58">
        <v>51</v>
      </c>
      <c r="BI58">
        <v>395.45</v>
      </c>
    </row>
    <row r="59" spans="1:61" x14ac:dyDescent="0.3">
      <c r="A59" s="161" t="str">
        <f t="shared" si="28"/>
        <v xml:space="preserve">  </v>
      </c>
      <c r="B59" s="283"/>
      <c r="C59" s="276"/>
      <c r="D59" s="324"/>
      <c r="E59" s="324"/>
      <c r="F59" s="324"/>
      <c r="G59" s="325"/>
      <c r="M59" s="52" t="str">
        <f t="shared" si="29"/>
        <v/>
      </c>
      <c r="N59" s="52" t="str">
        <f t="shared" si="30"/>
        <v/>
      </c>
      <c r="P59" s="52" t="str">
        <f>IF(E59&gt;0,(CONCATENATE(#REF!,", ",G59,", Fr. ",(TEXT(E59,"0.00")))),"")</f>
        <v/>
      </c>
      <c r="Q59" s="52" t="str">
        <f t="shared" si="31"/>
        <v/>
      </c>
      <c r="R59" s="49"/>
      <c r="S59" s="49"/>
      <c r="AO59">
        <v>5000</v>
      </c>
      <c r="AP59" t="s">
        <v>111</v>
      </c>
      <c r="AQ59" t="s">
        <v>112</v>
      </c>
      <c r="BE59" s="23"/>
      <c r="BH59">
        <v>52</v>
      </c>
      <c r="BI59">
        <v>395.45</v>
      </c>
    </row>
    <row r="60" spans="1:61" x14ac:dyDescent="0.3">
      <c r="A60" s="161" t="str">
        <f t="shared" si="28"/>
        <v xml:space="preserve">  </v>
      </c>
      <c r="B60" s="283"/>
      <c r="C60" s="276"/>
      <c r="D60" s="324"/>
      <c r="E60" s="324"/>
      <c r="F60" s="324"/>
      <c r="G60" s="325"/>
      <c r="M60" s="52" t="str">
        <f t="shared" si="29"/>
        <v/>
      </c>
      <c r="N60" s="52" t="str">
        <f t="shared" si="30"/>
        <v/>
      </c>
      <c r="P60" s="52" t="str">
        <f>IF(E60&gt;0,(CONCATENATE(#REF!,", ",G60,", Fr. ",(TEXT(E60,"0.00")))),"")</f>
        <v/>
      </c>
      <c r="Q60" s="52" t="str">
        <f t="shared" si="31"/>
        <v/>
      </c>
      <c r="R60" s="49"/>
      <c r="S60" s="49"/>
      <c r="AO60">
        <v>5004</v>
      </c>
      <c r="AP60" t="s">
        <v>111</v>
      </c>
      <c r="AQ60" t="s">
        <v>112</v>
      </c>
      <c r="BE60" s="23"/>
      <c r="BH60">
        <v>53</v>
      </c>
      <c r="BI60">
        <v>395.45</v>
      </c>
    </row>
    <row r="61" spans="1:61" ht="14.15" hidden="1" customHeight="1" x14ac:dyDescent="0.3">
      <c r="A61" s="161" t="str">
        <f>CONCATENATE(" ",A35)</f>
        <v xml:space="preserve">   </v>
      </c>
      <c r="B61" s="283"/>
      <c r="C61" s="284"/>
      <c r="D61" s="324"/>
      <c r="E61" s="324"/>
      <c r="F61" s="324"/>
      <c r="G61" s="325"/>
      <c r="L61" s="22" t="s">
        <v>324</v>
      </c>
      <c r="M61" s="52" t="str">
        <f>IF(C61&lt;&gt;0,(CONCATENATE(#REF!,", ",D61,", Fr. ",(TEXT(C61,"0.00")))),"")</f>
        <v/>
      </c>
      <c r="N61" s="52" t="str">
        <f t="shared" si="30"/>
        <v/>
      </c>
      <c r="P61" s="52" t="str">
        <f>IF(E61&gt;0,(CONCATENATE(#REF!,", ",G61,", Fr. ",(TEXT(E61,"0.00")))),"")</f>
        <v/>
      </c>
      <c r="Q61" s="52" t="str">
        <f t="shared" si="31"/>
        <v/>
      </c>
      <c r="R61" s="49"/>
      <c r="S61" s="49"/>
      <c r="AO61">
        <v>5017</v>
      </c>
      <c r="AP61" t="s">
        <v>276</v>
      </c>
      <c r="AQ61" t="s">
        <v>112</v>
      </c>
      <c r="BE61" s="23"/>
      <c r="BH61">
        <v>54</v>
      </c>
      <c r="BI61">
        <v>395.45</v>
      </c>
    </row>
    <row r="62" spans="1:61" ht="14.15" hidden="1" customHeight="1" x14ac:dyDescent="0.3">
      <c r="A62" s="161" t="str">
        <f>CONCATENATE(" ",A36)</f>
        <v xml:space="preserve">   </v>
      </c>
      <c r="B62" s="283"/>
      <c r="C62" s="284"/>
      <c r="D62" s="324"/>
      <c r="E62" s="324"/>
      <c r="F62" s="324"/>
      <c r="G62" s="325"/>
      <c r="L62" s="22" t="s">
        <v>324</v>
      </c>
      <c r="M62" s="52" t="str">
        <f>IF(C62&lt;&gt;0,(CONCATENATE(#REF!,", ",D62,", Fr. ",(TEXT(C62,"0.00")))),"")</f>
        <v/>
      </c>
      <c r="N62" s="52"/>
      <c r="P62" s="52" t="str">
        <f>IF(E62&gt;0,(CONCATENATE(#REF!,", ",G62,", Fr. ",(TEXT(E62,"0.00")))),"")</f>
        <v/>
      </c>
      <c r="Q62" s="52"/>
      <c r="R62" s="49"/>
      <c r="S62" s="49"/>
      <c r="BE62" s="23"/>
      <c r="BH62">
        <v>55</v>
      </c>
      <c r="BI62">
        <v>395.45</v>
      </c>
    </row>
    <row r="63" spans="1:61" ht="14.5" thickBot="1" x14ac:dyDescent="0.35">
      <c r="A63" s="68" t="s">
        <v>411</v>
      </c>
      <c r="B63" s="125">
        <f>SUM(M125:P125)</f>
        <v>110</v>
      </c>
      <c r="C63" s="122">
        <f>SUM(C55:C62)</f>
        <v>125</v>
      </c>
      <c r="D63" s="24"/>
      <c r="E63" s="123"/>
      <c r="F63" s="25"/>
      <c r="G63" s="26"/>
      <c r="M63" s="52"/>
      <c r="N63" s="52"/>
      <c r="Q63" s="49"/>
      <c r="R63" s="49"/>
      <c r="S63" s="49"/>
      <c r="AO63">
        <v>5018</v>
      </c>
      <c r="AP63" t="s">
        <v>276</v>
      </c>
      <c r="AQ63" t="s">
        <v>112</v>
      </c>
      <c r="BE63" s="23"/>
      <c r="BH63">
        <v>56</v>
      </c>
      <c r="BI63">
        <v>395.45</v>
      </c>
    </row>
    <row r="64" spans="1:61" ht="14.5" thickBot="1" x14ac:dyDescent="0.35">
      <c r="C64" s="108" t="str">
        <f>IF(B55&gt;5,"Achtung. Max. Fr. 5.00 vorgesehen für auswärtige Verpflegung pro Tag","")</f>
        <v/>
      </c>
      <c r="F64"/>
      <c r="G64" s="29"/>
      <c r="M64" s="49"/>
      <c r="N64" s="49"/>
      <c r="O64" s="49"/>
      <c r="P64" s="49"/>
      <c r="Q64" s="49"/>
      <c r="R64" s="49"/>
      <c r="S64" s="49"/>
      <c r="AO64">
        <v>5022</v>
      </c>
      <c r="AP64" t="s">
        <v>113</v>
      </c>
      <c r="AQ64" t="s">
        <v>112</v>
      </c>
      <c r="BE64" s="23"/>
      <c r="BH64">
        <v>57</v>
      </c>
      <c r="BI64">
        <v>395.45</v>
      </c>
    </row>
    <row r="65" spans="1:73" x14ac:dyDescent="0.3">
      <c r="A65" s="68" t="s">
        <v>414</v>
      </c>
      <c r="B65" s="37" t="s">
        <v>45</v>
      </c>
      <c r="C65" s="38"/>
      <c r="D65" s="340" t="s">
        <v>444</v>
      </c>
      <c r="E65" s="340"/>
      <c r="F65" s="340"/>
      <c r="G65" s="285">
        <v>160</v>
      </c>
      <c r="L65" t="s">
        <v>363</v>
      </c>
      <c r="M65" s="49"/>
      <c r="N65" s="49"/>
      <c r="O65" s="49"/>
      <c r="P65" s="49"/>
      <c r="Q65" s="49"/>
      <c r="R65" s="49"/>
      <c r="S65" s="49"/>
      <c r="AO65">
        <v>5046</v>
      </c>
      <c r="AP65" t="s">
        <v>127</v>
      </c>
      <c r="AQ65" t="s">
        <v>123</v>
      </c>
      <c r="BE65" s="23"/>
      <c r="BH65">
        <v>41</v>
      </c>
      <c r="BI65">
        <v>395.45</v>
      </c>
    </row>
    <row r="66" spans="1:73" x14ac:dyDescent="0.3">
      <c r="A66" s="68"/>
      <c r="B66" s="39" t="s">
        <v>406</v>
      </c>
      <c r="C66" s="23"/>
      <c r="D66" s="341"/>
      <c r="E66" s="341"/>
      <c r="F66" s="341"/>
      <c r="G66" s="278">
        <v>0</v>
      </c>
      <c r="L66" t="s">
        <v>339</v>
      </c>
      <c r="M66" s="49"/>
      <c r="N66" s="49"/>
      <c r="O66" s="49"/>
      <c r="P66" s="49"/>
      <c r="Q66" s="49"/>
      <c r="R66" s="49"/>
      <c r="S66" s="49"/>
      <c r="AO66">
        <v>5053</v>
      </c>
      <c r="AP66" t="s">
        <v>128</v>
      </c>
      <c r="AQ66" t="s">
        <v>101</v>
      </c>
      <c r="BE66" s="23"/>
      <c r="BH66">
        <v>42</v>
      </c>
      <c r="BI66">
        <v>395.45</v>
      </c>
    </row>
    <row r="67" spans="1:73" x14ac:dyDescent="0.3">
      <c r="A67" s="68"/>
      <c r="B67" s="39" t="s">
        <v>436</v>
      </c>
      <c r="C67" s="23"/>
      <c r="D67" s="341"/>
      <c r="E67" s="341"/>
      <c r="F67" s="341"/>
      <c r="G67" s="278">
        <v>0</v>
      </c>
      <c r="L67" t="s">
        <v>333</v>
      </c>
      <c r="M67" s="49"/>
      <c r="N67" s="49"/>
      <c r="O67" s="49"/>
      <c r="P67" s="49"/>
      <c r="Q67" s="49"/>
      <c r="R67" s="49"/>
      <c r="S67" s="49"/>
      <c r="AO67">
        <v>5054</v>
      </c>
      <c r="AP67" t="s">
        <v>129</v>
      </c>
      <c r="AQ67" t="s">
        <v>101</v>
      </c>
      <c r="BE67" s="23"/>
      <c r="BH67">
        <v>43</v>
      </c>
      <c r="BI67">
        <v>395.45</v>
      </c>
    </row>
    <row r="68" spans="1:73" x14ac:dyDescent="0.3">
      <c r="A68" s="68"/>
      <c r="B68" s="39" t="s">
        <v>59</v>
      </c>
      <c r="C68" s="23"/>
      <c r="D68" s="341"/>
      <c r="E68" s="341"/>
      <c r="F68" s="341"/>
      <c r="G68" s="278">
        <v>0</v>
      </c>
      <c r="L68" t="s">
        <v>338</v>
      </c>
      <c r="M68" s="23">
        <f>SUM(G65:G69)</f>
        <v>560</v>
      </c>
      <c r="N68" s="23" t="s">
        <v>50</v>
      </c>
      <c r="O68" s="49"/>
      <c r="P68" s="49"/>
      <c r="Q68" s="49"/>
      <c r="R68" s="49"/>
      <c r="S68" s="49"/>
      <c r="AO68">
        <v>5056</v>
      </c>
      <c r="AP68" t="s">
        <v>130</v>
      </c>
      <c r="AQ68" t="s">
        <v>101</v>
      </c>
      <c r="BE68" s="23"/>
      <c r="BH68">
        <v>44</v>
      </c>
      <c r="BI68">
        <v>395.45</v>
      </c>
    </row>
    <row r="69" spans="1:73" ht="14.5" thickBot="1" x14ac:dyDescent="0.35">
      <c r="A69" s="68"/>
      <c r="B69" s="40" t="s">
        <v>370</v>
      </c>
      <c r="C69" s="41"/>
      <c r="D69" s="286" t="s">
        <v>407</v>
      </c>
      <c r="E69" s="287"/>
      <c r="F69" s="288"/>
      <c r="G69" s="289">
        <v>400</v>
      </c>
      <c r="L69" t="s">
        <v>349</v>
      </c>
      <c r="M69" s="23" t="s">
        <v>51</v>
      </c>
      <c r="N69" s="49"/>
      <c r="O69" s="49"/>
      <c r="P69" s="49"/>
      <c r="Q69" s="49"/>
      <c r="R69" s="49"/>
      <c r="S69" s="49"/>
      <c r="AO69">
        <v>5057</v>
      </c>
      <c r="AP69" t="s">
        <v>130</v>
      </c>
      <c r="AQ69" t="s">
        <v>101</v>
      </c>
      <c r="BE69" s="23"/>
      <c r="BH69">
        <v>45</v>
      </c>
      <c r="BI69">
        <v>395.45</v>
      </c>
    </row>
    <row r="70" spans="1:73" ht="14.5" thickBot="1" x14ac:dyDescent="0.35">
      <c r="A70" s="68"/>
      <c r="B70" s="23"/>
      <c r="C70" s="23"/>
      <c r="D70" s="23"/>
      <c r="E70" s="23"/>
      <c r="F70" s="23"/>
      <c r="G70" s="23"/>
      <c r="M70" s="49"/>
      <c r="N70" s="49"/>
      <c r="O70" s="49"/>
      <c r="P70" s="49"/>
      <c r="Q70" s="49"/>
      <c r="R70" s="49"/>
      <c r="S70" s="49"/>
      <c r="BE70" s="23"/>
      <c r="BH70">
        <v>46</v>
      </c>
      <c r="BI70">
        <v>395.45</v>
      </c>
    </row>
    <row r="71" spans="1:73" x14ac:dyDescent="0.3">
      <c r="A71" s="68" t="s">
        <v>415</v>
      </c>
      <c r="B71" s="14" t="s">
        <v>330</v>
      </c>
      <c r="C71" s="30" t="s">
        <v>331</v>
      </c>
      <c r="D71" s="31"/>
      <c r="E71" s="31"/>
      <c r="F71" s="31"/>
      <c r="G71" s="255" t="s">
        <v>428</v>
      </c>
      <c r="M71" s="50" t="s">
        <v>41</v>
      </c>
      <c r="N71" s="49"/>
      <c r="O71" s="49"/>
      <c r="P71" s="49"/>
      <c r="Q71" s="53" t="s">
        <v>40</v>
      </c>
      <c r="R71" s="54"/>
      <c r="S71" s="54"/>
      <c r="T71" s="53"/>
      <c r="AO71">
        <v>5023</v>
      </c>
      <c r="AP71" t="s">
        <v>114</v>
      </c>
      <c r="AQ71" t="s">
        <v>112</v>
      </c>
      <c r="BE71" s="23"/>
      <c r="BH71">
        <v>58</v>
      </c>
      <c r="BI71">
        <v>395.45</v>
      </c>
    </row>
    <row r="72" spans="1:73" x14ac:dyDescent="0.3">
      <c r="A72" s="162" t="s">
        <v>416</v>
      </c>
      <c r="B72" s="290" t="s">
        <v>403</v>
      </c>
      <c r="C72" s="342" t="s">
        <v>445</v>
      </c>
      <c r="D72" s="341"/>
      <c r="E72" s="341"/>
      <c r="F72" s="341"/>
      <c r="G72" s="278">
        <v>160</v>
      </c>
      <c r="M72" s="52" t="str">
        <f>IF(G72&lt;&gt;0,(CONCATENATE(" ",B72,", ",C72,", Fr. ",(TEXT(G72,"0.00")))),"")</f>
        <v xml:space="preserve"> Mohammed Ali, Spielgruppe, Januar 2025, gemäss Kostengutsprache, Fr. 160.00</v>
      </c>
      <c r="N72" s="52" t="str">
        <f>IF(G73&lt;&gt;0," / ","")</f>
        <v xml:space="preserve"> / </v>
      </c>
      <c r="O72" s="49"/>
      <c r="P72" s="49"/>
      <c r="Q72" s="53" t="s">
        <v>42</v>
      </c>
      <c r="R72" s="54"/>
      <c r="S72" s="54"/>
      <c r="T72" s="53"/>
      <c r="AO72">
        <v>5024</v>
      </c>
      <c r="AP72" t="s">
        <v>113</v>
      </c>
      <c r="AQ72" t="s">
        <v>112</v>
      </c>
      <c r="BE72" s="23"/>
      <c r="BH72">
        <v>59</v>
      </c>
      <c r="BI72">
        <v>395.45</v>
      </c>
      <c r="BU72" t="s">
        <v>365</v>
      </c>
    </row>
    <row r="73" spans="1:73" x14ac:dyDescent="0.3">
      <c r="A73" s="162"/>
      <c r="B73" s="290" t="s">
        <v>403</v>
      </c>
      <c r="C73" s="342" t="s">
        <v>408</v>
      </c>
      <c r="D73" s="341"/>
      <c r="E73" s="341"/>
      <c r="F73" s="341"/>
      <c r="G73" s="278">
        <v>-100</v>
      </c>
      <c r="M73" s="52" t="str">
        <f>IF(G73&lt;&gt;0,(CONCATENATE(" ",B73,", ",C73,", Fr. ",(TEXT(G73,"0.00")))),"")</f>
        <v xml:space="preserve"> Mohammed Ali, im Voraus bezahlte Asyl-Sozialhilfe, Fr. -100.00</v>
      </c>
      <c r="N73" s="52" t="str">
        <f>IF(G74&lt;&gt;0," / ","")</f>
        <v/>
      </c>
      <c r="O73" s="49"/>
      <c r="P73" s="49"/>
      <c r="Q73" s="53" t="s">
        <v>44</v>
      </c>
      <c r="R73" s="54"/>
      <c r="S73" s="54"/>
      <c r="T73" s="53"/>
      <c r="AO73">
        <v>5025</v>
      </c>
      <c r="AP73" t="s">
        <v>115</v>
      </c>
      <c r="AQ73" t="s">
        <v>112</v>
      </c>
      <c r="BE73" s="23"/>
      <c r="BH73">
        <v>60</v>
      </c>
      <c r="BI73">
        <v>395.45</v>
      </c>
    </row>
    <row r="74" spans="1:73" x14ac:dyDescent="0.3">
      <c r="A74" s="68"/>
      <c r="B74" s="290"/>
      <c r="C74" s="342"/>
      <c r="D74" s="341"/>
      <c r="E74" s="341"/>
      <c r="F74" s="341"/>
      <c r="G74" s="278"/>
      <c r="M74" s="52" t="str">
        <f>IF(G74&lt;&gt;0,(CONCATENATE(" ",B74,", ",C74,", Fr. ",(TEXT(G74,"0.00")))),"")</f>
        <v/>
      </c>
      <c r="N74" s="52"/>
      <c r="O74" s="49"/>
      <c r="P74" s="49"/>
      <c r="Q74" s="53" t="s">
        <v>43</v>
      </c>
      <c r="R74" s="53"/>
      <c r="S74" s="53"/>
      <c r="T74" s="53"/>
      <c r="AO74">
        <v>5026</v>
      </c>
      <c r="AP74" t="s">
        <v>115</v>
      </c>
      <c r="AQ74" t="s">
        <v>112</v>
      </c>
      <c r="BE74" s="23"/>
      <c r="BH74">
        <v>61</v>
      </c>
      <c r="BI74">
        <v>395.45</v>
      </c>
    </row>
    <row r="75" spans="1:73" ht="14.5" thickBot="1" x14ac:dyDescent="0.35">
      <c r="A75" s="163" t="str">
        <f>CONCATENATE(V8,V9,V10,V11,V12,V13,V14,V15,U8,U9,U10,U11,U12,U13,U14,U15)</f>
        <v/>
      </c>
      <c r="B75" s="291"/>
      <c r="C75" s="33"/>
      <c r="D75" s="34"/>
      <c r="E75" s="34"/>
      <c r="F75" s="34"/>
      <c r="G75" s="35">
        <f>SUM(G72:G74)</f>
        <v>60</v>
      </c>
      <c r="M75" s="52"/>
      <c r="N75" s="49"/>
      <c r="O75" s="49"/>
      <c r="P75" s="49"/>
      <c r="Q75" s="53" t="s">
        <v>334</v>
      </c>
      <c r="R75" s="49"/>
      <c r="S75" s="49"/>
      <c r="AO75">
        <v>5027</v>
      </c>
      <c r="AP75" t="s">
        <v>116</v>
      </c>
      <c r="AQ75" t="s">
        <v>98</v>
      </c>
      <c r="BE75" s="23"/>
      <c r="BH75">
        <v>62</v>
      </c>
      <c r="BI75">
        <v>395.45</v>
      </c>
    </row>
    <row r="76" spans="1:73" x14ac:dyDescent="0.3">
      <c r="F76" s="29"/>
      <c r="M76" s="49"/>
      <c r="N76" s="49"/>
      <c r="O76" s="49"/>
      <c r="P76" s="49"/>
      <c r="Q76" s="49"/>
      <c r="S76" s="49"/>
      <c r="AO76">
        <v>5028</v>
      </c>
      <c r="AP76" t="s">
        <v>117</v>
      </c>
      <c r="AQ76" t="s">
        <v>98</v>
      </c>
      <c r="BE76" s="23"/>
      <c r="BH76">
        <v>63</v>
      </c>
      <c r="BI76">
        <v>395.45</v>
      </c>
    </row>
    <row r="77" spans="1:73" ht="14.5" thickBot="1" x14ac:dyDescent="0.35">
      <c r="A77" s="68"/>
      <c r="C77" s="79"/>
      <c r="D77" s="109"/>
      <c r="E77" s="109"/>
      <c r="F77" s="109"/>
      <c r="G77" s="23"/>
      <c r="M77" s="49"/>
      <c r="N77" s="49"/>
      <c r="O77" s="49"/>
      <c r="P77" s="49"/>
      <c r="Q77" s="49"/>
      <c r="R77" s="49"/>
      <c r="S77" s="49"/>
      <c r="AO77">
        <v>5062</v>
      </c>
      <c r="AP77" t="s">
        <v>131</v>
      </c>
      <c r="AQ77" t="s">
        <v>98</v>
      </c>
      <c r="BE77" s="23"/>
      <c r="BH77">
        <v>64</v>
      </c>
      <c r="BI77">
        <v>395.45</v>
      </c>
    </row>
    <row r="78" spans="1:73" x14ac:dyDescent="0.3">
      <c r="A78" s="68" t="s">
        <v>417</v>
      </c>
      <c r="B78" s="343"/>
      <c r="C78" s="344"/>
      <c r="D78" s="344"/>
      <c r="E78" s="344"/>
      <c r="F78" s="344"/>
      <c r="G78" s="345"/>
      <c r="M78" s="49" t="s">
        <v>342</v>
      </c>
      <c r="N78" s="49"/>
      <c r="O78" s="49"/>
      <c r="P78" s="49"/>
      <c r="Q78" s="49"/>
      <c r="R78" s="49"/>
      <c r="S78" s="49"/>
      <c r="AO78">
        <v>5063</v>
      </c>
      <c r="AP78" t="s">
        <v>132</v>
      </c>
      <c r="AQ78" t="s">
        <v>98</v>
      </c>
      <c r="BE78" s="23"/>
      <c r="BH78">
        <v>65</v>
      </c>
      <c r="BI78">
        <v>395.45</v>
      </c>
    </row>
    <row r="79" spans="1:73" x14ac:dyDescent="0.3">
      <c r="A79" s="68"/>
      <c r="B79" s="346"/>
      <c r="C79" s="347"/>
      <c r="D79" s="347"/>
      <c r="E79" s="347"/>
      <c r="F79" s="347"/>
      <c r="G79" s="348"/>
      <c r="M79" s="49"/>
      <c r="N79" s="49"/>
      <c r="O79" s="49"/>
      <c r="P79" s="49"/>
      <c r="Q79" s="49"/>
      <c r="R79" s="49"/>
      <c r="S79" s="49"/>
      <c r="AO79">
        <v>5064</v>
      </c>
      <c r="AP79" t="s">
        <v>133</v>
      </c>
      <c r="AQ79" t="s">
        <v>98</v>
      </c>
      <c r="BE79" s="23"/>
      <c r="BH79">
        <v>66</v>
      </c>
      <c r="BI79">
        <v>395.45</v>
      </c>
    </row>
    <row r="80" spans="1:73" ht="14.5" thickBot="1" x14ac:dyDescent="0.35">
      <c r="A80" s="68"/>
      <c r="B80" s="349"/>
      <c r="C80" s="350"/>
      <c r="D80" s="350"/>
      <c r="E80" s="350"/>
      <c r="F80" s="350"/>
      <c r="G80" s="351"/>
      <c r="M80" s="49"/>
      <c r="N80" s="49"/>
      <c r="O80" s="49"/>
      <c r="P80" s="49"/>
      <c r="Q80" s="49"/>
      <c r="R80" s="49"/>
      <c r="S80" s="49"/>
      <c r="AO80">
        <v>5070</v>
      </c>
      <c r="AP80" t="s">
        <v>134</v>
      </c>
      <c r="AQ80" t="s">
        <v>98</v>
      </c>
      <c r="BE80" s="23"/>
      <c r="BH80">
        <v>67</v>
      </c>
      <c r="BI80">
        <v>395.45</v>
      </c>
    </row>
    <row r="81" spans="1:75" x14ac:dyDescent="0.3">
      <c r="A81" s="68"/>
      <c r="F81"/>
      <c r="M81" s="49"/>
      <c r="N81" s="49"/>
      <c r="O81" s="49"/>
      <c r="P81" s="49"/>
      <c r="Q81" s="49"/>
      <c r="R81" s="49"/>
      <c r="S81" s="49"/>
      <c r="AO81">
        <v>5070</v>
      </c>
      <c r="AP81" t="s">
        <v>134</v>
      </c>
      <c r="AQ81" t="s">
        <v>98</v>
      </c>
      <c r="BE81" s="23"/>
      <c r="BH81">
        <v>68</v>
      </c>
      <c r="BI81">
        <v>395.45</v>
      </c>
    </row>
    <row r="82" spans="1:75" x14ac:dyDescent="0.3">
      <c r="A82" s="68" t="s">
        <v>418</v>
      </c>
      <c r="B82" s="68" t="str">
        <f>B21</f>
        <v>nicht unterstützt / arbeitet</v>
      </c>
      <c r="M82" s="49"/>
      <c r="N82" s="49"/>
      <c r="O82" s="49"/>
      <c r="P82" s="49"/>
      <c r="Q82" s="49"/>
      <c r="R82" s="49"/>
      <c r="S82" s="49"/>
      <c r="AO82">
        <v>5070</v>
      </c>
      <c r="AP82" t="s">
        <v>134</v>
      </c>
      <c r="AQ82" t="s">
        <v>98</v>
      </c>
      <c r="BE82" s="23"/>
      <c r="BH82">
        <v>69</v>
      </c>
      <c r="BI82">
        <v>395.45</v>
      </c>
    </row>
    <row r="83" spans="1:75" ht="14.5" x14ac:dyDescent="0.35">
      <c r="A83" s="68"/>
      <c r="B83" s="69" t="str">
        <f>IF(B82="teilunterstützt / arbeitet","Bitte das anrechenbare Einkommen mit der Quartalsabrechnung melden    -&gt;","Für diesen Monat werden keine Pauschalen vergütet")</f>
        <v>Für diesen Monat werden keine Pauschalen vergütet</v>
      </c>
      <c r="F83" s="135" t="str">
        <f>IF(B83="Bitte das anrechenbare Einkommen mit der Quartalsabrechnung melden    -&gt;",C25,"")</f>
        <v/>
      </c>
      <c r="M83" s="49"/>
      <c r="N83" s="49"/>
      <c r="O83" s="49"/>
      <c r="P83" s="49"/>
      <c r="Q83" s="49"/>
      <c r="R83" s="49"/>
      <c r="S83" s="49"/>
      <c r="AO83">
        <v>5070</v>
      </c>
      <c r="AP83" t="s">
        <v>134</v>
      </c>
      <c r="AQ83" t="s">
        <v>98</v>
      </c>
      <c r="BE83" s="23"/>
      <c r="BH83">
        <v>70</v>
      </c>
      <c r="BI83">
        <v>395.45</v>
      </c>
    </row>
    <row r="84" spans="1:75" ht="14.5" x14ac:dyDescent="0.35">
      <c r="A84" s="68"/>
      <c r="B84" s="69"/>
      <c r="F84"/>
      <c r="M84" s="49"/>
      <c r="N84" s="49"/>
      <c r="O84" s="49"/>
      <c r="P84" s="49"/>
      <c r="Q84" s="49"/>
      <c r="R84" s="49"/>
      <c r="S84" s="49"/>
      <c r="BE84" s="23"/>
    </row>
    <row r="85" spans="1:75" x14ac:dyDescent="0.3">
      <c r="A85" s="68" t="s">
        <v>419</v>
      </c>
      <c r="B85" s="324"/>
      <c r="C85" s="324"/>
      <c r="D85" s="324"/>
      <c r="E85" s="324"/>
      <c r="F85"/>
      <c r="L85" t="s">
        <v>352</v>
      </c>
      <c r="M85" s="49"/>
      <c r="N85" s="49"/>
      <c r="O85" s="49"/>
      <c r="P85" s="49"/>
      <c r="Q85" s="49"/>
      <c r="R85" s="49"/>
      <c r="S85" s="49"/>
      <c r="BE85" s="23"/>
    </row>
    <row r="86" spans="1:75" ht="14.5" x14ac:dyDescent="0.35">
      <c r="A86" s="68"/>
      <c r="B86" s="69"/>
      <c r="F86"/>
      <c r="M86" s="49"/>
      <c r="N86" s="49"/>
      <c r="O86" s="49"/>
      <c r="P86" s="49"/>
      <c r="Q86" s="49"/>
      <c r="R86" s="49"/>
      <c r="S86" s="49"/>
      <c r="BE86" s="23"/>
    </row>
    <row r="87" spans="1:75" x14ac:dyDescent="0.3">
      <c r="A87" s="68" t="s">
        <v>420</v>
      </c>
      <c r="B87" s="292" t="s">
        <v>356</v>
      </c>
      <c r="C87" s="292"/>
      <c r="D87" s="292"/>
      <c r="E87" s="292"/>
      <c r="F87"/>
      <c r="L87" t="s">
        <v>357</v>
      </c>
      <c r="M87" s="49"/>
      <c r="N87" s="49"/>
      <c r="O87" s="49"/>
      <c r="P87" s="49"/>
      <c r="Q87" s="49"/>
      <c r="R87" s="49"/>
      <c r="S87" s="49"/>
      <c r="BE87" s="23"/>
    </row>
    <row r="88" spans="1:75" ht="14.5" x14ac:dyDescent="0.35">
      <c r="A88" s="68"/>
      <c r="B88" s="69"/>
      <c r="F88"/>
      <c r="L88" t="s">
        <v>367</v>
      </c>
      <c r="M88" s="49"/>
      <c r="N88" s="49"/>
      <c r="O88" s="49"/>
      <c r="P88" s="49"/>
      <c r="Q88" s="49"/>
      <c r="R88" s="49"/>
      <c r="S88" s="49"/>
      <c r="AO88">
        <v>5079</v>
      </c>
      <c r="AP88" t="s">
        <v>143</v>
      </c>
      <c r="AQ88" t="s">
        <v>98</v>
      </c>
      <c r="BE88" s="23"/>
    </row>
    <row r="89" spans="1:75" x14ac:dyDescent="0.3">
      <c r="A89" s="68"/>
      <c r="F89"/>
      <c r="M89" s="49"/>
      <c r="N89" s="49"/>
      <c r="O89" s="49"/>
      <c r="P89" s="49"/>
      <c r="Q89" s="49"/>
      <c r="R89" s="49"/>
      <c r="S89" s="49"/>
      <c r="BE89" s="23"/>
      <c r="BH89">
        <v>71</v>
      </c>
      <c r="BI89">
        <v>395.45</v>
      </c>
    </row>
    <row r="90" spans="1:75" hidden="1" x14ac:dyDescent="0.3">
      <c r="F90" s="29"/>
      <c r="M90" s="49"/>
      <c r="N90" s="49"/>
      <c r="O90" s="49"/>
      <c r="P90" s="49"/>
      <c r="Q90" s="49"/>
      <c r="R90" s="49"/>
      <c r="S90" s="49"/>
      <c r="AO90">
        <v>5072</v>
      </c>
      <c r="AP90" t="s">
        <v>135</v>
      </c>
      <c r="AQ90" t="s">
        <v>98</v>
      </c>
      <c r="BE90" s="23"/>
      <c r="BH90">
        <v>72</v>
      </c>
      <c r="BI90">
        <v>395.45</v>
      </c>
    </row>
    <row r="91" spans="1:75" hidden="1" x14ac:dyDescent="0.3">
      <c r="F91" s="29"/>
      <c r="M91" s="49"/>
      <c r="N91" s="49"/>
      <c r="O91" s="49"/>
      <c r="P91" s="49"/>
      <c r="Q91" s="49"/>
      <c r="R91" s="49"/>
      <c r="S91" s="49"/>
      <c r="AO91">
        <v>5073</v>
      </c>
      <c r="AP91" t="s">
        <v>136</v>
      </c>
      <c r="AQ91" t="s">
        <v>98</v>
      </c>
      <c r="BE91" s="23"/>
      <c r="BH91">
        <v>73</v>
      </c>
      <c r="BI91">
        <v>395.45</v>
      </c>
    </row>
    <row r="92" spans="1:75" ht="19" x14ac:dyDescent="0.4">
      <c r="A92" s="82" t="s">
        <v>396</v>
      </c>
      <c r="B92" s="172"/>
      <c r="C92" s="172"/>
      <c r="D92" s="172"/>
      <c r="E92" s="172"/>
      <c r="F92" s="173"/>
      <c r="M92" s="49"/>
      <c r="N92" s="49"/>
      <c r="O92" s="49"/>
      <c r="P92" s="49"/>
      <c r="Q92" s="49"/>
      <c r="R92" s="49"/>
      <c r="S92" s="49"/>
      <c r="BE92" s="23"/>
      <c r="BW92" s="2" t="s">
        <v>402</v>
      </c>
    </row>
    <row r="93" spans="1:75" ht="16.5" x14ac:dyDescent="0.35">
      <c r="A93" s="68" t="s">
        <v>397</v>
      </c>
      <c r="B93" s="172"/>
      <c r="C93" s="172"/>
      <c r="D93" s="172"/>
      <c r="E93" s="172"/>
      <c r="F93" s="173"/>
      <c r="M93" s="49"/>
      <c r="N93" s="49"/>
      <c r="O93" s="49"/>
      <c r="P93" s="49"/>
      <c r="Q93" s="49"/>
      <c r="R93" s="49"/>
      <c r="S93" s="49"/>
      <c r="BE93" s="23"/>
    </row>
    <row r="94" spans="1:75" ht="16.5" x14ac:dyDescent="0.35">
      <c r="A94" s="68" t="s">
        <v>398</v>
      </c>
      <c r="B94" s="172"/>
      <c r="C94" s="172"/>
      <c r="D94" s="172"/>
      <c r="E94" s="179"/>
      <c r="F94" s="213"/>
      <c r="M94" s="49"/>
      <c r="N94" s="49"/>
      <c r="O94" s="49"/>
      <c r="P94" s="49"/>
      <c r="Q94" s="49"/>
      <c r="R94" s="49"/>
      <c r="S94" s="49"/>
      <c r="BE94" s="23"/>
    </row>
    <row r="95" spans="1:75" ht="23.25" customHeight="1" x14ac:dyDescent="0.35">
      <c r="A95" s="212" t="s">
        <v>399</v>
      </c>
      <c r="B95" s="172"/>
      <c r="C95" s="172"/>
      <c r="D95" s="172"/>
      <c r="E95" s="172"/>
      <c r="F95" s="173"/>
      <c r="M95" s="49"/>
      <c r="N95" s="49"/>
      <c r="O95" s="49"/>
      <c r="P95" s="49"/>
      <c r="Q95" s="49"/>
      <c r="R95" s="49"/>
      <c r="S95" s="49"/>
      <c r="BE95" s="23"/>
    </row>
    <row r="96" spans="1:75" ht="16.5" x14ac:dyDescent="0.35">
      <c r="A96" s="172"/>
      <c r="B96" s="172"/>
      <c r="C96" s="172"/>
      <c r="D96" s="172"/>
      <c r="E96" s="172"/>
      <c r="F96" s="173"/>
      <c r="M96" s="49"/>
      <c r="N96" s="49"/>
      <c r="O96" s="49"/>
      <c r="P96" s="49"/>
      <c r="Q96" s="49"/>
      <c r="R96" s="49"/>
      <c r="S96" s="49"/>
      <c r="BE96" s="23"/>
    </row>
    <row r="97" spans="1:61" ht="16.5" x14ac:dyDescent="0.35">
      <c r="A97" s="172" t="s">
        <v>12</v>
      </c>
      <c r="B97" s="172"/>
      <c r="C97" s="172" t="str">
        <f>CONCATENATE(A8," ",B8)</f>
        <v>Ali Mohammed</v>
      </c>
      <c r="E97" s="174" t="s">
        <v>308</v>
      </c>
      <c r="F97" s="185" t="str">
        <f>CONCATENATE(C8)</f>
        <v>777777</v>
      </c>
      <c r="G97" s="29"/>
      <c r="N97" s="49"/>
      <c r="O97" s="49"/>
      <c r="P97" s="49"/>
      <c r="Q97" s="49"/>
      <c r="R97" s="49"/>
      <c r="S97" s="49"/>
      <c r="T97" s="49"/>
      <c r="AO97">
        <v>5074</v>
      </c>
      <c r="AP97" t="s">
        <v>137</v>
      </c>
      <c r="AQ97" t="s">
        <v>98</v>
      </c>
      <c r="BE97" s="23"/>
      <c r="BH97">
        <v>74</v>
      </c>
      <c r="BI97">
        <v>395.45</v>
      </c>
    </row>
    <row r="98" spans="1:61" ht="16.5" x14ac:dyDescent="0.35">
      <c r="A98" s="172" t="s">
        <v>2</v>
      </c>
      <c r="B98" s="172"/>
      <c r="C98" s="172" t="str">
        <f>CONCATENATE(B17)</f>
        <v>Austrasse 1</v>
      </c>
      <c r="E98" s="174" t="s">
        <v>309</v>
      </c>
      <c r="F98" s="185" t="str">
        <f>CONCATENATE(D8)</f>
        <v>555555</v>
      </c>
      <c r="G98" s="1"/>
      <c r="R98" s="23"/>
      <c r="AO98">
        <v>5075</v>
      </c>
      <c r="AP98" t="s">
        <v>138</v>
      </c>
      <c r="AQ98" t="s">
        <v>98</v>
      </c>
      <c r="BE98" s="23"/>
      <c r="BH98">
        <v>75</v>
      </c>
      <c r="BI98">
        <v>395.45</v>
      </c>
    </row>
    <row r="99" spans="1:61" ht="16.5" x14ac:dyDescent="0.35">
      <c r="A99" s="172" t="s">
        <v>3</v>
      </c>
      <c r="B99" s="172"/>
      <c r="C99" s="175" t="str">
        <f>CONCATENATE(B18," ",B19)</f>
        <v>5000 Aarau</v>
      </c>
      <c r="D99" s="172"/>
      <c r="E99" s="172"/>
      <c r="F99" s="172"/>
      <c r="G99" s="1"/>
      <c r="AO99">
        <v>5076</v>
      </c>
      <c r="AP99" t="s">
        <v>139</v>
      </c>
      <c r="AQ99" t="s">
        <v>140</v>
      </c>
      <c r="BE99" s="23"/>
      <c r="BH99">
        <v>76</v>
      </c>
      <c r="BI99">
        <v>395.45</v>
      </c>
    </row>
    <row r="100" spans="1:61" ht="16.5" x14ac:dyDescent="0.35">
      <c r="A100" s="172"/>
      <c r="B100" s="172"/>
      <c r="C100" s="172"/>
      <c r="D100" s="172"/>
      <c r="E100" s="176"/>
      <c r="F100" s="177" t="str">
        <f>IF(AND(C8&gt;1,D8&lt;1),"Bitte AG-Nummer(n) eintragen","")</f>
        <v/>
      </c>
      <c r="G100" s="1"/>
      <c r="AO100">
        <v>5077</v>
      </c>
      <c r="AP100" t="s">
        <v>141</v>
      </c>
      <c r="AQ100" t="s">
        <v>140</v>
      </c>
      <c r="BE100" s="23"/>
      <c r="BH100">
        <v>77</v>
      </c>
      <c r="BI100">
        <v>395.45</v>
      </c>
    </row>
    <row r="101" spans="1:61" ht="16.5" x14ac:dyDescent="0.35">
      <c r="A101" s="171" t="str">
        <f>IF(G8=1,(CONCATENATE("Pauschalen für den Monat ",M17," ",N17)),(CONCATENATE("Pauschalen für Ihre Unterstützungseinheit für den Monat ",M17," ",N17)))</f>
        <v>Pauschalen für Ihre Unterstützungseinheit für den Monat Februar 2025</v>
      </c>
      <c r="B101" s="171"/>
      <c r="C101" s="172"/>
      <c r="D101" s="178"/>
      <c r="F101" s="179" t="str">
        <f>G17</f>
        <v>28 Tage</v>
      </c>
      <c r="AO101">
        <v>5078</v>
      </c>
      <c r="AP101" t="s">
        <v>142</v>
      </c>
      <c r="AQ101" t="s">
        <v>140</v>
      </c>
      <c r="BE101" s="23"/>
      <c r="BH101">
        <v>80</v>
      </c>
      <c r="BI101">
        <v>395.45</v>
      </c>
    </row>
    <row r="102" spans="1:61" ht="17" thickBot="1" x14ac:dyDescent="0.4">
      <c r="A102" s="178"/>
      <c r="B102" s="172"/>
      <c r="C102" s="172"/>
      <c r="D102" s="172"/>
      <c r="E102" s="172"/>
      <c r="F102" s="172"/>
      <c r="AO102">
        <v>5080</v>
      </c>
      <c r="AP102" t="s">
        <v>144</v>
      </c>
      <c r="AQ102" t="s">
        <v>98</v>
      </c>
      <c r="BE102" s="23"/>
      <c r="BH102">
        <v>82</v>
      </c>
      <c r="BI102">
        <v>395.45</v>
      </c>
    </row>
    <row r="103" spans="1:61" ht="22.5" customHeight="1" x14ac:dyDescent="0.3">
      <c r="A103" s="180" t="s">
        <v>27</v>
      </c>
      <c r="B103" s="181" t="s">
        <v>1</v>
      </c>
      <c r="C103" s="181"/>
      <c r="D103" s="182" t="s">
        <v>5</v>
      </c>
      <c r="E103" s="183" t="s">
        <v>310</v>
      </c>
      <c r="F103" s="184" t="str">
        <f>IF(F106&gt;20,"Lebensunterhalt","Kleidergeld")</f>
        <v>Lebensunterhalt</v>
      </c>
      <c r="G103" s="1"/>
      <c r="L103" t="s">
        <v>77</v>
      </c>
      <c r="AO103">
        <v>5082</v>
      </c>
      <c r="AP103" t="s">
        <v>145</v>
      </c>
      <c r="AQ103" t="s">
        <v>98</v>
      </c>
      <c r="BE103" s="23"/>
      <c r="BH103">
        <v>83</v>
      </c>
      <c r="BI103">
        <v>395.45</v>
      </c>
    </row>
    <row r="104" spans="1:61" ht="13.5" customHeight="1" x14ac:dyDescent="0.3">
      <c r="A104" s="134"/>
      <c r="B104" s="140"/>
      <c r="C104" s="140"/>
      <c r="D104" s="186" t="s">
        <v>429</v>
      </c>
      <c r="E104" s="186" t="s">
        <v>389</v>
      </c>
      <c r="F104" s="188" t="str">
        <f>IF(F103="Kleidergeld","Fr. 20.00","inkl. Kleidergeld Fr. 20.00")</f>
        <v>inkl. Kleidergeld Fr. 20.00</v>
      </c>
      <c r="G104" s="1"/>
      <c r="AO104">
        <v>5083</v>
      </c>
      <c r="AP104" t="s">
        <v>145</v>
      </c>
      <c r="AQ104" t="s">
        <v>98</v>
      </c>
      <c r="BE104" s="23"/>
      <c r="BH104">
        <v>84</v>
      </c>
      <c r="BI104">
        <v>395.45</v>
      </c>
    </row>
    <row r="105" spans="1:61" ht="15.65" customHeight="1" x14ac:dyDescent="0.3">
      <c r="A105" s="134"/>
      <c r="B105" s="140"/>
      <c r="C105" s="140"/>
      <c r="D105" s="186" t="s">
        <v>430</v>
      </c>
      <c r="E105" s="187" t="s">
        <v>390</v>
      </c>
      <c r="F105" s="188" t="str">
        <f>IF(F103="Kleidergeld","pro Person und Monat","pro Person und Monat")</f>
        <v>pro Person und Monat</v>
      </c>
      <c r="G105" s="1"/>
      <c r="R105" t="s">
        <v>322</v>
      </c>
      <c r="AO105">
        <v>5084</v>
      </c>
      <c r="AP105" t="s">
        <v>144</v>
      </c>
      <c r="AQ105" t="s">
        <v>98</v>
      </c>
      <c r="BE105" s="23"/>
      <c r="BH105">
        <v>85</v>
      </c>
      <c r="BI105">
        <v>395.45</v>
      </c>
    </row>
    <row r="106" spans="1:61" ht="22.5" customHeight="1" x14ac:dyDescent="0.35">
      <c r="A106" s="215" t="str">
        <f t="shared" ref="A106:B113" si="32">CONCATENATE(A8)</f>
        <v>Ali</v>
      </c>
      <c r="B106" s="172" t="str">
        <f t="shared" si="32"/>
        <v>Mohammed</v>
      </c>
      <c r="C106" s="172"/>
      <c r="D106" s="207">
        <f t="shared" ref="D106:D113" si="33">IF(C8&gt;1,((IF(F8&gt;15,$N$109*$L$16,$N$108*$L$16))),"")</f>
        <v>252</v>
      </c>
      <c r="E106" s="207">
        <f t="shared" ref="E106:E113" si="34">IF(C8&gt;1,((IF(F8&gt;5,$O$109*$L$16,$O$107*$L$16))),"")</f>
        <v>28</v>
      </c>
      <c r="F106" s="216">
        <f>IF(G8=0,0,((IF(Q29&gt;0.01,Q29,""))))</f>
        <v>140</v>
      </c>
      <c r="G106" s="1"/>
      <c r="M106" s="51" t="s">
        <v>7</v>
      </c>
      <c r="N106" s="51" t="s">
        <v>5</v>
      </c>
      <c r="O106" s="51" t="s">
        <v>6</v>
      </c>
      <c r="R106" s="51" t="s">
        <v>7</v>
      </c>
      <c r="S106" s="51" t="s">
        <v>5</v>
      </c>
      <c r="T106" s="51" t="s">
        <v>6</v>
      </c>
      <c r="AO106">
        <v>5085</v>
      </c>
      <c r="AP106" t="s">
        <v>144</v>
      </c>
      <c r="AQ106" t="s">
        <v>98</v>
      </c>
      <c r="BE106" s="23"/>
      <c r="BH106">
        <v>86</v>
      </c>
      <c r="BI106">
        <v>395.45</v>
      </c>
    </row>
    <row r="107" spans="1:61" ht="16.5" x14ac:dyDescent="0.35">
      <c r="A107" s="215" t="str">
        <f t="shared" si="32"/>
        <v>Ali</v>
      </c>
      <c r="B107" s="172" t="str">
        <f t="shared" si="32"/>
        <v>Laila</v>
      </c>
      <c r="C107" s="172"/>
      <c r="D107" s="207">
        <f t="shared" si="33"/>
        <v>252</v>
      </c>
      <c r="E107" s="207">
        <f t="shared" si="34"/>
        <v>28</v>
      </c>
      <c r="F107" s="216">
        <f t="shared" ref="F107:F113" si="35">IF(Q30&gt;0.01,Q30,"")</f>
        <v>140</v>
      </c>
      <c r="G107" s="1"/>
      <c r="L107" t="s">
        <v>311</v>
      </c>
      <c r="M107" s="57" t="s">
        <v>24</v>
      </c>
      <c r="N107" s="58">
        <v>8.5</v>
      </c>
      <c r="O107" s="58">
        <v>0</v>
      </c>
      <c r="R107" s="57" t="s">
        <v>24</v>
      </c>
      <c r="S107" s="58">
        <v>7.5</v>
      </c>
      <c r="T107" s="58">
        <v>0</v>
      </c>
      <c r="AO107">
        <v>5102</v>
      </c>
      <c r="AP107" t="s">
        <v>146</v>
      </c>
      <c r="AQ107" t="s">
        <v>147</v>
      </c>
      <c r="BE107" s="23"/>
      <c r="BH107">
        <v>87</v>
      </c>
      <c r="BI107">
        <v>395.45</v>
      </c>
    </row>
    <row r="108" spans="1:61" ht="16.5" x14ac:dyDescent="0.35">
      <c r="A108" s="215" t="str">
        <f t="shared" si="32"/>
        <v>Ali</v>
      </c>
      <c r="B108" s="172" t="str">
        <f t="shared" si="32"/>
        <v>Junior</v>
      </c>
      <c r="C108" s="172"/>
      <c r="D108" s="207">
        <f t="shared" si="33"/>
        <v>238</v>
      </c>
      <c r="E108" s="207">
        <f t="shared" si="34"/>
        <v>28</v>
      </c>
      <c r="F108" s="216">
        <f t="shared" si="35"/>
        <v>140</v>
      </c>
      <c r="G108" s="1"/>
      <c r="M108" s="59" t="s">
        <v>25</v>
      </c>
      <c r="N108" s="58">
        <v>8.5</v>
      </c>
      <c r="O108" s="58">
        <v>1</v>
      </c>
      <c r="R108" s="59" t="s">
        <v>25</v>
      </c>
      <c r="S108" s="58">
        <v>7.5</v>
      </c>
      <c r="T108" s="58">
        <v>1</v>
      </c>
      <c r="AO108">
        <v>5103</v>
      </c>
      <c r="AP108" t="s">
        <v>148</v>
      </c>
      <c r="AQ108" t="s">
        <v>147</v>
      </c>
      <c r="BE108" s="23"/>
      <c r="BH108">
        <v>88</v>
      </c>
      <c r="BI108">
        <v>395.45</v>
      </c>
    </row>
    <row r="109" spans="1:61" ht="16.5" x14ac:dyDescent="0.35">
      <c r="A109" s="215" t="str">
        <f t="shared" si="32"/>
        <v/>
      </c>
      <c r="B109" s="172" t="str">
        <f t="shared" si="32"/>
        <v/>
      </c>
      <c r="C109" s="172"/>
      <c r="D109" s="207" t="str">
        <f t="shared" si="33"/>
        <v/>
      </c>
      <c r="E109" s="207" t="str">
        <f t="shared" si="34"/>
        <v/>
      </c>
      <c r="F109" s="216" t="str">
        <f t="shared" si="35"/>
        <v/>
      </c>
      <c r="G109" s="1"/>
      <c r="M109" s="57" t="s">
        <v>26</v>
      </c>
      <c r="N109" s="58">
        <v>9</v>
      </c>
      <c r="O109" s="58">
        <v>1</v>
      </c>
      <c r="R109" s="57" t="s">
        <v>26</v>
      </c>
      <c r="S109" s="58">
        <v>8</v>
      </c>
      <c r="T109" s="58">
        <v>1</v>
      </c>
      <c r="AO109">
        <v>5105</v>
      </c>
      <c r="AP109" t="s">
        <v>149</v>
      </c>
      <c r="AQ109" t="s">
        <v>140</v>
      </c>
      <c r="BE109" s="23"/>
      <c r="BH109">
        <v>89</v>
      </c>
      <c r="BI109">
        <v>395.45</v>
      </c>
    </row>
    <row r="110" spans="1:61" ht="16.5" x14ac:dyDescent="0.35">
      <c r="A110" s="215" t="str">
        <f t="shared" si="32"/>
        <v/>
      </c>
      <c r="B110" s="172" t="str">
        <f t="shared" si="32"/>
        <v/>
      </c>
      <c r="C110" s="172"/>
      <c r="D110" s="207" t="str">
        <f t="shared" si="33"/>
        <v/>
      </c>
      <c r="E110" s="207" t="str">
        <f t="shared" si="34"/>
        <v/>
      </c>
      <c r="F110" s="216" t="str">
        <f t="shared" si="35"/>
        <v/>
      </c>
      <c r="G110" s="1"/>
      <c r="AO110">
        <v>5106</v>
      </c>
      <c r="AP110" t="s">
        <v>278</v>
      </c>
      <c r="AQ110" t="s">
        <v>140</v>
      </c>
      <c r="BE110" s="23"/>
      <c r="BH110">
        <v>90</v>
      </c>
      <c r="BI110">
        <v>395.45</v>
      </c>
    </row>
    <row r="111" spans="1:61" ht="16.5" x14ac:dyDescent="0.35">
      <c r="A111" s="215" t="str">
        <f t="shared" si="32"/>
        <v/>
      </c>
      <c r="B111" s="172" t="str">
        <f t="shared" si="32"/>
        <v/>
      </c>
      <c r="C111" s="172"/>
      <c r="D111" s="207" t="str">
        <f t="shared" si="33"/>
        <v/>
      </c>
      <c r="E111" s="207" t="str">
        <f t="shared" si="34"/>
        <v/>
      </c>
      <c r="F111" s="216" t="str">
        <f t="shared" si="35"/>
        <v/>
      </c>
      <c r="G111" s="1"/>
      <c r="R111" t="s">
        <v>35</v>
      </c>
      <c r="AO111">
        <v>5107</v>
      </c>
      <c r="AP111" t="s">
        <v>150</v>
      </c>
      <c r="AQ111" t="s">
        <v>140</v>
      </c>
      <c r="BE111" s="23"/>
      <c r="BH111">
        <v>91</v>
      </c>
      <c r="BI111">
        <v>395.45</v>
      </c>
    </row>
    <row r="112" spans="1:61" ht="14.15" hidden="1" customHeight="1" x14ac:dyDescent="0.35">
      <c r="A112" s="215" t="str">
        <f t="shared" si="32"/>
        <v/>
      </c>
      <c r="B112" s="172" t="str">
        <f t="shared" si="32"/>
        <v/>
      </c>
      <c r="C112" s="172"/>
      <c r="D112" s="207" t="str">
        <f t="shared" si="33"/>
        <v/>
      </c>
      <c r="E112" s="207" t="str">
        <f t="shared" si="34"/>
        <v/>
      </c>
      <c r="F112" s="216" t="str">
        <f t="shared" si="35"/>
        <v/>
      </c>
      <c r="G112" s="1"/>
      <c r="I112" s="22" t="s">
        <v>324</v>
      </c>
      <c r="R112" s="51" t="s">
        <v>7</v>
      </c>
      <c r="S112" s="51" t="s">
        <v>5</v>
      </c>
      <c r="T112" s="51" t="s">
        <v>6</v>
      </c>
      <c r="AO112">
        <v>5108</v>
      </c>
      <c r="AP112" t="s">
        <v>150</v>
      </c>
      <c r="AQ112" t="s">
        <v>140</v>
      </c>
      <c r="BE112" s="23"/>
      <c r="BH112">
        <v>92</v>
      </c>
      <c r="BI112">
        <v>395.45</v>
      </c>
    </row>
    <row r="113" spans="1:61" ht="14.15" hidden="1" customHeight="1" x14ac:dyDescent="0.35">
      <c r="A113" s="215" t="str">
        <f t="shared" si="32"/>
        <v/>
      </c>
      <c r="B113" s="172" t="str">
        <f t="shared" si="32"/>
        <v/>
      </c>
      <c r="C113" s="172"/>
      <c r="D113" s="207" t="str">
        <f t="shared" si="33"/>
        <v/>
      </c>
      <c r="E113" s="207" t="str">
        <f t="shared" si="34"/>
        <v/>
      </c>
      <c r="F113" s="216" t="str">
        <f t="shared" si="35"/>
        <v/>
      </c>
      <c r="G113" s="1"/>
      <c r="I113" s="22" t="s">
        <v>324</v>
      </c>
      <c r="R113" s="57" t="s">
        <v>24</v>
      </c>
      <c r="S113" s="58">
        <v>8</v>
      </c>
      <c r="T113" s="58">
        <v>0</v>
      </c>
      <c r="AO113">
        <v>5112</v>
      </c>
      <c r="AP113" t="s">
        <v>279</v>
      </c>
      <c r="AQ113" t="s">
        <v>140</v>
      </c>
      <c r="BE113" s="23"/>
      <c r="BH113">
        <v>93</v>
      </c>
      <c r="BI113">
        <v>395.45</v>
      </c>
    </row>
    <row r="114" spans="1:61" ht="16.5" x14ac:dyDescent="0.35">
      <c r="A114" s="231"/>
      <c r="B114" s="232"/>
      <c r="C114" s="232"/>
      <c r="D114" s="233">
        <f>SUM(D106:D113)</f>
        <v>742</v>
      </c>
      <c r="E114" s="233">
        <f>SUM(E106:E113)</f>
        <v>84</v>
      </c>
      <c r="F114" s="234">
        <f>SUM(F106:F113)</f>
        <v>420</v>
      </c>
      <c r="G114" s="1"/>
      <c r="R114" s="59" t="s">
        <v>321</v>
      </c>
      <c r="S114" s="58">
        <v>8</v>
      </c>
      <c r="T114" s="58">
        <v>1</v>
      </c>
      <c r="AO114">
        <v>5113</v>
      </c>
      <c r="AP114" t="s">
        <v>280</v>
      </c>
      <c r="AQ114" t="s">
        <v>147</v>
      </c>
      <c r="BE114" s="23"/>
      <c r="BH114">
        <v>94</v>
      </c>
      <c r="BI114">
        <v>395.45</v>
      </c>
    </row>
    <row r="115" spans="1:61" ht="17" thickBot="1" x14ac:dyDescent="0.4">
      <c r="A115" s="235" t="s">
        <v>346</v>
      </c>
      <c r="B115" s="236"/>
      <c r="C115" s="236"/>
      <c r="D115" s="237"/>
      <c r="E115" s="237"/>
      <c r="F115" s="238">
        <f>SUM(D114:F114)</f>
        <v>1246</v>
      </c>
      <c r="G115" s="1"/>
      <c r="R115" s="57" t="s">
        <v>26</v>
      </c>
      <c r="S115" s="58">
        <v>8.5</v>
      </c>
      <c r="T115" s="58">
        <v>1</v>
      </c>
      <c r="AO115">
        <v>5116</v>
      </c>
      <c r="AP115" t="s">
        <v>151</v>
      </c>
      <c r="AQ115" t="s">
        <v>140</v>
      </c>
      <c r="BE115" s="23"/>
      <c r="BH115">
        <v>95</v>
      </c>
      <c r="BI115">
        <v>395.45</v>
      </c>
    </row>
    <row r="116" spans="1:61" ht="17" thickBot="1" x14ac:dyDescent="0.4">
      <c r="A116" s="171"/>
      <c r="B116" s="171"/>
      <c r="C116" s="171"/>
      <c r="D116" s="174"/>
      <c r="E116" s="174"/>
      <c r="F116" s="174"/>
      <c r="G116" s="1"/>
      <c r="AO116">
        <v>5200</v>
      </c>
      <c r="AP116" t="s">
        <v>152</v>
      </c>
      <c r="AQ116" t="s">
        <v>140</v>
      </c>
      <c r="BE116" s="23"/>
      <c r="BH116">
        <v>96</v>
      </c>
      <c r="BI116">
        <v>395.45</v>
      </c>
    </row>
    <row r="117" spans="1:61" ht="21" customHeight="1" x14ac:dyDescent="0.3">
      <c r="A117" s="239" t="s">
        <v>425</v>
      </c>
      <c r="B117" s="240"/>
      <c r="C117" s="240"/>
      <c r="D117" s="240"/>
      <c r="E117" s="240"/>
      <c r="F117" s="241"/>
      <c r="G117" s="1"/>
      <c r="BE117" s="23"/>
      <c r="BH117">
        <v>97</v>
      </c>
      <c r="BI117">
        <v>395.45</v>
      </c>
    </row>
    <row r="118" spans="1:61" ht="22.5" customHeight="1" x14ac:dyDescent="0.35">
      <c r="A118" s="219" t="s">
        <v>295</v>
      </c>
      <c r="B118" s="172"/>
      <c r="C118" s="172"/>
      <c r="D118" s="174"/>
      <c r="E118" s="174"/>
      <c r="F118" s="216">
        <f>+C41</f>
        <v>907.44999999999993</v>
      </c>
      <c r="G118" s="1"/>
      <c r="R118" t="s">
        <v>36</v>
      </c>
      <c r="T118" s="60">
        <v>45658</v>
      </c>
      <c r="U118" t="s">
        <v>37</v>
      </c>
      <c r="AO118">
        <v>5210</v>
      </c>
      <c r="AP118" t="s">
        <v>153</v>
      </c>
      <c r="AQ118" t="s">
        <v>140</v>
      </c>
      <c r="BE118" s="23"/>
      <c r="BH118">
        <v>98</v>
      </c>
      <c r="BI118">
        <v>395.45</v>
      </c>
    </row>
    <row r="119" spans="1:61" x14ac:dyDescent="0.3">
      <c r="A119" s="223" t="str">
        <f>CONCATENATE(M29,N29,M30,N30,M31,N31,M32,N32,M33,N33,M34,N34,M35,N35,M36,N36)</f>
        <v xml:space="preserve"> Mohammed Ali, Fr. 395.45  /  Laila Ali, Fr. 395.45  /  Junior Ali, Fr. 116.55 </v>
      </c>
      <c r="D119" s="1"/>
      <c r="E119" s="1"/>
      <c r="F119" s="224"/>
      <c r="G119" s="1"/>
      <c r="T119" s="23"/>
      <c r="AO119">
        <v>5212</v>
      </c>
      <c r="AP119" t="s">
        <v>281</v>
      </c>
      <c r="AQ119" t="s">
        <v>140</v>
      </c>
      <c r="BE119" s="23"/>
      <c r="BH119">
        <v>99</v>
      </c>
      <c r="BI119">
        <v>395.45</v>
      </c>
    </row>
    <row r="120" spans="1:61" ht="8.5" customHeight="1" x14ac:dyDescent="0.3">
      <c r="A120" s="225"/>
      <c r="D120" s="1"/>
      <c r="E120" s="1"/>
      <c r="F120" s="224"/>
      <c r="G120" s="1"/>
      <c r="AO120">
        <v>5213</v>
      </c>
      <c r="AP120" t="s">
        <v>154</v>
      </c>
      <c r="AQ120" t="s">
        <v>140</v>
      </c>
      <c r="BE120" s="23"/>
      <c r="BH120">
        <v>100</v>
      </c>
      <c r="BI120">
        <v>395.45</v>
      </c>
    </row>
    <row r="121" spans="1:61" ht="16.5" x14ac:dyDescent="0.35">
      <c r="A121" s="219" t="s">
        <v>343</v>
      </c>
      <c r="B121" s="172"/>
      <c r="C121" s="172"/>
      <c r="D121" s="226"/>
      <c r="E121" s="226"/>
      <c r="F121" s="216">
        <f>B29</f>
        <v>810</v>
      </c>
      <c r="G121" s="1"/>
      <c r="AO121">
        <v>5222</v>
      </c>
      <c r="AP121" t="s">
        <v>152</v>
      </c>
      <c r="AQ121" t="s">
        <v>140</v>
      </c>
    </row>
    <row r="122" spans="1:61" ht="17.149999999999999" customHeight="1" x14ac:dyDescent="0.3">
      <c r="A122" s="225"/>
      <c r="F122" s="227"/>
      <c r="G122" s="1"/>
      <c r="AO122">
        <v>5223</v>
      </c>
      <c r="AP122" t="s">
        <v>155</v>
      </c>
      <c r="AQ122" t="s">
        <v>140</v>
      </c>
    </row>
    <row r="123" spans="1:61" ht="16.5" x14ac:dyDescent="0.35">
      <c r="A123" s="219" t="str">
        <f>IF(B63&gt;0,"Vergütung für auswärtige Verpflegung gemäss Stellenprozent","")</f>
        <v>Vergütung für auswärtige Verpflegung gemäss Stellenprozent</v>
      </c>
      <c r="B123" s="172"/>
      <c r="C123" s="172"/>
      <c r="D123" s="172"/>
      <c r="E123" s="226"/>
      <c r="F123" s="216">
        <f>IF(B63&gt;0,((SUM(M125:P125))),"")</f>
        <v>110</v>
      </c>
      <c r="G123" s="1"/>
      <c r="M123" s="61" t="s">
        <v>61</v>
      </c>
      <c r="N123" s="61"/>
      <c r="O123" s="61"/>
      <c r="P123" s="61"/>
      <c r="Q123" s="61"/>
      <c r="R123" s="61"/>
      <c r="S123" s="61"/>
      <c r="AO123">
        <v>5225</v>
      </c>
      <c r="AP123" t="s">
        <v>156</v>
      </c>
      <c r="AQ123" t="s">
        <v>140</v>
      </c>
    </row>
    <row r="124" spans="1:61" x14ac:dyDescent="0.3">
      <c r="A124" s="228" t="str">
        <f>IF(G8=1,"",(IF(M126&gt;1,CONCATENATE(Q124,R124,S124,T124),"")))</f>
        <v xml:space="preserve"> Mohammed Ali, Fr. 110.00</v>
      </c>
      <c r="F124" s="227"/>
      <c r="G124" s="1"/>
      <c r="M124" s="1" t="str">
        <f>A29</f>
        <v xml:space="preserve"> Mohammed Ali</v>
      </c>
      <c r="N124" s="1" t="str">
        <f>A30</f>
        <v xml:space="preserve"> Laila Ali</v>
      </c>
      <c r="O124" s="1" t="str">
        <f>A31</f>
        <v xml:space="preserve"> Junior Ali</v>
      </c>
      <c r="P124" s="1" t="str">
        <f>A32</f>
        <v xml:space="preserve">  </v>
      </c>
      <c r="Q124" s="52" t="str">
        <f>IF(M126&gt;1,(CONCATENATE(M124,", Fr. ",(TEXT(M126,"0.00")))),"")</f>
        <v xml:space="preserve"> Mohammed Ali, Fr. 110.00</v>
      </c>
      <c r="R124" s="52" t="str">
        <f>IF(N126&gt;0.1,(CONCATENATE(" / ",N124,", Fr. ",(TEXT(N126,"0.00")))),"")</f>
        <v/>
      </c>
      <c r="S124" s="52" t="str">
        <f>IF(O126&gt;0.1,(CONCATENATE(" / ",O124,", Fr. ",(TEXT(O126,"0.00")))),"")</f>
        <v/>
      </c>
      <c r="T124" s="52" t="str">
        <f>IF(P126&gt;0.1,(CONCATENATE(" / ",P124,", Fr. ",(TEXT(P126,"0.00")))),"")</f>
        <v/>
      </c>
      <c r="AO124">
        <v>5233</v>
      </c>
      <c r="AP124" t="s">
        <v>157</v>
      </c>
      <c r="AQ124" t="s">
        <v>140</v>
      </c>
    </row>
    <row r="125" spans="1:61" ht="8.5" customHeight="1" x14ac:dyDescent="0.3">
      <c r="A125" s="229"/>
      <c r="F125" s="227"/>
      <c r="G125" s="1"/>
      <c r="M125" s="23">
        <f>B55*22*(D44+E44+F44)</f>
        <v>110</v>
      </c>
      <c r="N125" s="23">
        <f>B56*22*(D45+E45+F45)</f>
        <v>0</v>
      </c>
      <c r="O125" s="23">
        <f>B57*22*(D46+E46+F46)</f>
        <v>0</v>
      </c>
      <c r="P125" s="23">
        <f>B58*22*(D47+E47+F47)</f>
        <v>0</v>
      </c>
      <c r="AO125">
        <v>5234</v>
      </c>
      <c r="AP125" t="s">
        <v>157</v>
      </c>
      <c r="AQ125" t="s">
        <v>140</v>
      </c>
    </row>
    <row r="126" spans="1:61" ht="16.5" x14ac:dyDescent="0.35">
      <c r="A126" s="219" t="s">
        <v>384</v>
      </c>
      <c r="B126" s="172"/>
      <c r="C126" s="172"/>
      <c r="D126" s="172"/>
      <c r="E126" s="172"/>
      <c r="F126" s="216">
        <f>C63</f>
        <v>125</v>
      </c>
      <c r="G126" s="1"/>
      <c r="M126" s="23">
        <f>IF(M125&gt;0.01,M125,0)</f>
        <v>110</v>
      </c>
      <c r="N126" s="23">
        <f>IF(N125&gt;0.01,N125,0)</f>
        <v>0</v>
      </c>
      <c r="O126" s="23">
        <f>IF(O125&gt;0.01,O125,0)</f>
        <v>0</v>
      </c>
      <c r="P126" s="23">
        <f>IF(P125&gt;0.01,P125,0)</f>
        <v>0</v>
      </c>
      <c r="Q126" t="s">
        <v>60</v>
      </c>
      <c r="AO126">
        <v>5235</v>
      </c>
      <c r="AP126" t="s">
        <v>158</v>
      </c>
      <c r="AQ126" t="s">
        <v>140</v>
      </c>
    </row>
    <row r="127" spans="1:61" x14ac:dyDescent="0.3">
      <c r="A127" s="223" t="str">
        <f>CONCATENATE(M55,N55,M56,N56,M57,N57,M58,N58,M59,N59,M60,N60,M61,N61)</f>
        <v xml:space="preserve"> Mohammed Ali, Abo für Arbeitsweg, Fr. 125.00</v>
      </c>
      <c r="D127" s="1"/>
      <c r="E127" s="1"/>
      <c r="F127" s="224"/>
      <c r="G127" s="1"/>
      <c r="T127" s="23"/>
      <c r="AO127">
        <v>5236</v>
      </c>
      <c r="AP127" t="s">
        <v>159</v>
      </c>
      <c r="AQ127" t="s">
        <v>140</v>
      </c>
      <c r="BE127" s="23"/>
    </row>
    <row r="128" spans="1:61" ht="8.5" customHeight="1" x14ac:dyDescent="0.3">
      <c r="A128" s="225"/>
      <c r="D128" s="1"/>
      <c r="E128" s="1"/>
      <c r="F128" s="224"/>
      <c r="G128" s="1"/>
      <c r="R128" t="str">
        <f>IF(H128&gt;0,(CONCATENATE(E128,", ",L128,", Fr. ",(TEXT(H128,"0.00")))),"")</f>
        <v/>
      </c>
      <c r="AO128">
        <v>5237</v>
      </c>
      <c r="AP128" t="s">
        <v>160</v>
      </c>
      <c r="AQ128" t="s">
        <v>140</v>
      </c>
      <c r="BE128" s="23"/>
    </row>
    <row r="129" spans="1:43" hidden="1" x14ac:dyDescent="0.3">
      <c r="A129" s="225" t="s">
        <v>11</v>
      </c>
      <c r="F129" s="230">
        <f>E63</f>
        <v>0</v>
      </c>
      <c r="G129" s="1"/>
      <c r="AO129">
        <v>5242</v>
      </c>
      <c r="AP129" t="s">
        <v>161</v>
      </c>
      <c r="AQ129" t="s">
        <v>140</v>
      </c>
    </row>
    <row r="130" spans="1:43" hidden="1" x14ac:dyDescent="0.3">
      <c r="A130" s="229" t="str">
        <f>CONCATENATE(P55,Q55,P56,Q56,P57,Q57,P58,Q58,P59,Q59,P60,Q60,P61,Q61,P62,Q62)</f>
        <v/>
      </c>
      <c r="F130" s="227"/>
      <c r="G130" s="1"/>
      <c r="AO130">
        <v>5243</v>
      </c>
      <c r="AP130" t="s">
        <v>162</v>
      </c>
      <c r="AQ130" t="s">
        <v>140</v>
      </c>
    </row>
    <row r="131" spans="1:43" ht="8.5" hidden="1" customHeight="1" x14ac:dyDescent="0.3">
      <c r="A131" s="225"/>
      <c r="F131" s="227"/>
      <c r="G131" s="1"/>
      <c r="AO131">
        <v>5244</v>
      </c>
      <c r="AP131" t="s">
        <v>163</v>
      </c>
      <c r="AQ131" t="s">
        <v>140</v>
      </c>
    </row>
    <row r="132" spans="1:43" ht="16.5" x14ac:dyDescent="0.35">
      <c r="A132" s="219" t="s">
        <v>39</v>
      </c>
      <c r="B132" s="172"/>
      <c r="C132" s="172"/>
      <c r="D132" s="172"/>
      <c r="E132" s="172"/>
      <c r="F132" s="216">
        <f>G75-G41</f>
        <v>60</v>
      </c>
      <c r="G132" s="1"/>
      <c r="AO132">
        <v>5245</v>
      </c>
      <c r="AP132" t="s">
        <v>164</v>
      </c>
      <c r="AQ132" t="s">
        <v>140</v>
      </c>
    </row>
    <row r="133" spans="1:43" x14ac:dyDescent="0.3">
      <c r="A133" s="223" t="str">
        <f>CONCATENATE(M72,N72,M73,N73,M74)</f>
        <v xml:space="preserve"> Mohammed Ali, Spielgruppe, Januar 2025, gemäss Kostengutsprache, Fr. 160.00 /  Mohammed Ali, im Voraus bezahlte Asyl-Sozialhilfe, Fr. -100.00</v>
      </c>
      <c r="F133" s="227"/>
      <c r="G133" s="1"/>
      <c r="AO133">
        <v>5246</v>
      </c>
      <c r="AP133" t="s">
        <v>165</v>
      </c>
      <c r="AQ133" t="s">
        <v>140</v>
      </c>
    </row>
    <row r="134" spans="1:43" x14ac:dyDescent="0.3">
      <c r="A134" s="223" t="str">
        <f>CONCATENATE(T29)</f>
        <v/>
      </c>
      <c r="F134" s="227"/>
      <c r="G134" s="1"/>
      <c r="AO134">
        <v>5272</v>
      </c>
      <c r="AP134" t="s">
        <v>166</v>
      </c>
      <c r="AQ134" t="s">
        <v>98</v>
      </c>
    </row>
    <row r="135" spans="1:43" ht="17" thickBot="1" x14ac:dyDescent="0.4">
      <c r="A135" s="235" t="s">
        <v>437</v>
      </c>
      <c r="B135" s="242"/>
      <c r="C135" s="242"/>
      <c r="D135" s="242"/>
      <c r="E135" s="242"/>
      <c r="F135" s="245">
        <f>MROUND(SUM(F115:F133),0.05)</f>
        <v>3258.4500000000003</v>
      </c>
      <c r="G135" s="1"/>
      <c r="L135" t="s">
        <v>318</v>
      </c>
      <c r="AO135">
        <v>5273</v>
      </c>
      <c r="AP135" t="s">
        <v>167</v>
      </c>
      <c r="AQ135" t="s">
        <v>98</v>
      </c>
    </row>
    <row r="136" spans="1:43" ht="14.5" thickBot="1" x14ac:dyDescent="0.35">
      <c r="F136"/>
      <c r="G136" s="1"/>
      <c r="AO136">
        <v>5274</v>
      </c>
      <c r="AP136" t="s">
        <v>167</v>
      </c>
      <c r="AQ136" t="s">
        <v>98</v>
      </c>
    </row>
    <row r="137" spans="1:43" ht="14.5" hidden="1" thickBot="1" x14ac:dyDescent="0.35">
      <c r="F137"/>
      <c r="G137" s="1"/>
      <c r="AO137">
        <v>5275</v>
      </c>
      <c r="AP137" t="s">
        <v>167</v>
      </c>
      <c r="AQ137" t="s">
        <v>98</v>
      </c>
    </row>
    <row r="138" spans="1:43" ht="21" customHeight="1" x14ac:dyDescent="0.3">
      <c r="A138" s="203" t="s">
        <v>47</v>
      </c>
      <c r="B138" s="204"/>
      <c r="C138" s="204"/>
      <c r="D138" s="205" t="s">
        <v>46</v>
      </c>
      <c r="E138" s="205" t="s">
        <v>48</v>
      </c>
      <c r="F138" s="206" t="s">
        <v>52</v>
      </c>
      <c r="G138" s="1"/>
      <c r="AO138">
        <v>5276</v>
      </c>
      <c r="AP138" t="s">
        <v>167</v>
      </c>
      <c r="AQ138" t="s">
        <v>98</v>
      </c>
    </row>
    <row r="139" spans="1:43" ht="22.5" customHeight="1" x14ac:dyDescent="0.35">
      <c r="A139" s="215" t="str">
        <f>IF(D139&lt;&gt;0,(CONCATENATE(A44,", ",B44)),"")</f>
        <v xml:space="preserve"> Mohammed Ali, Lohn Januar 2025</v>
      </c>
      <c r="B139" s="178"/>
      <c r="C139" s="178"/>
      <c r="D139" s="207">
        <f>C44</f>
        <v>4200</v>
      </c>
      <c r="E139" s="207">
        <f>G44</f>
        <v>-400</v>
      </c>
      <c r="F139" s="216">
        <f>IF(C44&gt;0,(C44+G44),"")</f>
        <v>3800</v>
      </c>
      <c r="G139" s="1"/>
      <c r="L139" s="23"/>
      <c r="M139" s="23"/>
      <c r="AO139">
        <v>5277</v>
      </c>
      <c r="AP139" t="s">
        <v>167</v>
      </c>
      <c r="AQ139" t="s">
        <v>98</v>
      </c>
    </row>
    <row r="140" spans="1:43" ht="16.5" x14ac:dyDescent="0.35">
      <c r="A140" s="215" t="str">
        <f>IF(D140&lt;&gt;"",(CONCATENATE(A45,", ",B45)),"")</f>
        <v/>
      </c>
      <c r="B140" s="178"/>
      <c r="C140" s="178"/>
      <c r="D140" s="207" t="str">
        <f>IF(C45&lt;&gt;0,C45,"")</f>
        <v/>
      </c>
      <c r="E140" s="207" t="str">
        <f>IF(G45=0,"",G45)</f>
        <v/>
      </c>
      <c r="F140" s="216" t="str">
        <f>IF(C45&gt;0,(C45+G45),"")</f>
        <v/>
      </c>
      <c r="G140" s="1"/>
      <c r="M140" s="23"/>
      <c r="AO140">
        <v>5300</v>
      </c>
      <c r="AP140" t="s">
        <v>168</v>
      </c>
      <c r="AQ140" t="s">
        <v>169</v>
      </c>
    </row>
    <row r="141" spans="1:43" ht="16.5" x14ac:dyDescent="0.35">
      <c r="A141" s="215" t="str">
        <f>IF(D141&lt;&gt;"",(CONCATENATE(A46,", ",B46)),"")</f>
        <v/>
      </c>
      <c r="B141" s="178"/>
      <c r="C141" s="178"/>
      <c r="D141" s="207" t="str">
        <f>IF(C46&lt;&gt;0,C46,"")</f>
        <v/>
      </c>
      <c r="E141" s="207" t="str">
        <f>IF(G46=0,"",G46)</f>
        <v/>
      </c>
      <c r="F141" s="216" t="str">
        <f>IF(C46&gt;0,(C46+G46),"")</f>
        <v/>
      </c>
      <c r="G141" s="1"/>
      <c r="M141" s="23"/>
      <c r="AO141">
        <v>5301</v>
      </c>
      <c r="AP141" t="s">
        <v>170</v>
      </c>
      <c r="AQ141" t="s">
        <v>169</v>
      </c>
    </row>
    <row r="142" spans="1:43" ht="16.5" x14ac:dyDescent="0.35">
      <c r="A142" s="215" t="str">
        <f>IF(D142&lt;&gt;"",(CONCATENATE(A47,", ",B47)),"")</f>
        <v/>
      </c>
      <c r="B142" s="178"/>
      <c r="C142" s="178"/>
      <c r="D142" s="207" t="str">
        <f>IF(C47&lt;&gt;0,C47,"")</f>
        <v/>
      </c>
      <c r="E142" s="207" t="str">
        <f>IF(G47=0,"",G47)</f>
        <v/>
      </c>
      <c r="F142" s="216" t="str">
        <f>IF(C47&gt;0,(C47+G47),"")</f>
        <v/>
      </c>
      <c r="G142" s="1"/>
      <c r="K142" s="22" t="s">
        <v>388</v>
      </c>
      <c r="L142" s="22"/>
      <c r="M142" s="62"/>
      <c r="N142" s="22"/>
      <c r="AO142">
        <v>5303</v>
      </c>
      <c r="AP142" t="s">
        <v>171</v>
      </c>
      <c r="AQ142" t="s">
        <v>169</v>
      </c>
    </row>
    <row r="143" spans="1:43" ht="16.5" hidden="1" x14ac:dyDescent="0.35">
      <c r="A143" s="215" t="str">
        <f>IF(D143&lt;&gt;"",(CONCATENATE(A48,", ",B48)),"")</f>
        <v/>
      </c>
      <c r="B143" s="178"/>
      <c r="C143" s="178"/>
      <c r="D143" s="217"/>
      <c r="E143" s="217"/>
      <c r="F143" s="218"/>
      <c r="G143" s="1"/>
      <c r="K143" s="22" t="s">
        <v>388</v>
      </c>
      <c r="L143" s="22"/>
      <c r="M143" s="62"/>
      <c r="N143" s="22"/>
      <c r="AO143">
        <v>5304</v>
      </c>
      <c r="AP143" t="s">
        <v>172</v>
      </c>
      <c r="AQ143" t="s">
        <v>173</v>
      </c>
    </row>
    <row r="144" spans="1:43" ht="16.5" x14ac:dyDescent="0.35">
      <c r="A144" s="219" t="str">
        <f>IF(M68=0,"","weitere Einnahmen")</f>
        <v>weitere Einnahmen</v>
      </c>
      <c r="B144" s="220"/>
      <c r="C144" s="220"/>
      <c r="D144" s="220"/>
      <c r="E144" s="220"/>
      <c r="F144" s="218"/>
      <c r="G144" s="1"/>
      <c r="L144" t="s">
        <v>348</v>
      </c>
      <c r="AO144">
        <v>5305</v>
      </c>
      <c r="AP144" t="s">
        <v>172</v>
      </c>
      <c r="AQ144" t="s">
        <v>173</v>
      </c>
    </row>
    <row r="145" spans="1:43" ht="16.5" x14ac:dyDescent="0.35">
      <c r="A145" s="221" t="str">
        <f>IF(G65&gt;0.01,(CONCATENATE(" Überschuss ",D65)),"")</f>
        <v xml:space="preserve"> Überschuss Überschuss Januar 2025</v>
      </c>
      <c r="B145" s="220"/>
      <c r="C145" s="220"/>
      <c r="D145" s="222"/>
      <c r="E145" s="220"/>
      <c r="F145" s="216">
        <f>IF(G65=0,0,G65)</f>
        <v>160</v>
      </c>
      <c r="G145" s="1"/>
      <c r="AO145">
        <v>5306</v>
      </c>
      <c r="AP145" t="s">
        <v>174</v>
      </c>
      <c r="AQ145" t="s">
        <v>173</v>
      </c>
    </row>
    <row r="146" spans="1:43" ht="16.5" x14ac:dyDescent="0.35">
      <c r="A146" s="221" t="str">
        <f>CONCATENATE(" ",D66)</f>
        <v xml:space="preserve"> </v>
      </c>
      <c r="B146" s="220"/>
      <c r="C146" s="220"/>
      <c r="D146" s="222"/>
      <c r="E146" s="220"/>
      <c r="F146" s="216">
        <f>IF(G66=0,0,G66)</f>
        <v>0</v>
      </c>
      <c r="G146" s="1"/>
      <c r="AO146">
        <v>5312</v>
      </c>
      <c r="AP146" t="s">
        <v>175</v>
      </c>
      <c r="AQ146" t="s">
        <v>173</v>
      </c>
    </row>
    <row r="147" spans="1:43" ht="16.5" x14ac:dyDescent="0.35">
      <c r="A147" s="221" t="str">
        <f>CONCATENATE(" ",D67)</f>
        <v xml:space="preserve"> </v>
      </c>
      <c r="B147" s="220"/>
      <c r="C147" s="220"/>
      <c r="D147" s="222"/>
      <c r="E147" s="220"/>
      <c r="F147" s="216">
        <f>IF(G67=0,0,G67)</f>
        <v>0</v>
      </c>
      <c r="G147" s="1"/>
      <c r="AO147">
        <v>5313</v>
      </c>
      <c r="AP147" t="s">
        <v>176</v>
      </c>
      <c r="AQ147" t="s">
        <v>173</v>
      </c>
    </row>
    <row r="148" spans="1:43" ht="16.5" x14ac:dyDescent="0.35">
      <c r="A148" s="221" t="str">
        <f>CONCATENATE(" ",D68)</f>
        <v xml:space="preserve"> </v>
      </c>
      <c r="B148" s="220"/>
      <c r="C148" s="220"/>
      <c r="D148" s="222"/>
      <c r="E148" s="220"/>
      <c r="F148" s="216">
        <f>IF(G68=0,0,G68)</f>
        <v>0</v>
      </c>
      <c r="G148" s="1"/>
      <c r="AO148">
        <v>5314</v>
      </c>
      <c r="AP148" t="s">
        <v>177</v>
      </c>
      <c r="AQ148" t="s">
        <v>173</v>
      </c>
    </row>
    <row r="149" spans="1:43" ht="16.5" x14ac:dyDescent="0.35">
      <c r="A149" s="221" t="str">
        <f>CONCATENATE(" ",D69)</f>
        <v xml:space="preserve"> nachträglich erhaltene Kinderzulagen</v>
      </c>
      <c r="B149" s="178"/>
      <c r="C149" s="178"/>
      <c r="D149" s="217"/>
      <c r="E149" s="217"/>
      <c r="F149" s="216">
        <f>IF(G69=0,0,G69)</f>
        <v>400</v>
      </c>
      <c r="G149" s="1"/>
      <c r="AO149">
        <v>5315</v>
      </c>
      <c r="AP149" t="s">
        <v>177</v>
      </c>
      <c r="AQ149" t="s">
        <v>173</v>
      </c>
    </row>
    <row r="150" spans="1:43" ht="21" customHeight="1" thickBot="1" x14ac:dyDescent="0.35">
      <c r="A150" s="243" t="s">
        <v>320</v>
      </c>
      <c r="B150" s="244"/>
      <c r="C150" s="244"/>
      <c r="D150" s="244"/>
      <c r="E150" s="244"/>
      <c r="F150" s="245">
        <f>IFERROR(MROUND(SUM(F139:F149),0.05),"Freibetrag zu hoch")</f>
        <v>4360</v>
      </c>
      <c r="G150" s="1"/>
      <c r="AO150">
        <v>5318</v>
      </c>
      <c r="AP150" t="s">
        <v>178</v>
      </c>
      <c r="AQ150" t="s">
        <v>140</v>
      </c>
    </row>
    <row r="151" spans="1:43" ht="16.5" x14ac:dyDescent="0.35">
      <c r="A151" s="172"/>
      <c r="B151" s="172"/>
      <c r="C151" s="172"/>
      <c r="D151" s="172"/>
      <c r="E151" s="172"/>
      <c r="F151" s="172"/>
      <c r="G151" s="1"/>
    </row>
    <row r="152" spans="1:43" ht="23.5" customHeight="1" x14ac:dyDescent="0.3">
      <c r="A152" s="189" t="str">
        <f>IF(E153&gt;0.01,"Fehlbetrag (benötigte Unterstützung)","Überschuss")</f>
        <v>Überschuss</v>
      </c>
      <c r="B152" s="190"/>
      <c r="C152" s="190"/>
      <c r="D152" s="190"/>
      <c r="E152" s="190"/>
      <c r="F152" s="191">
        <f>IF(E153&lt;0,-E153,E153)</f>
        <v>1101.55</v>
      </c>
      <c r="G152" s="1"/>
      <c r="AO152">
        <v>5323</v>
      </c>
      <c r="AP152" t="s">
        <v>179</v>
      </c>
      <c r="AQ152" t="s">
        <v>173</v>
      </c>
    </row>
    <row r="153" spans="1:43" ht="13" customHeight="1" x14ac:dyDescent="0.35">
      <c r="A153" s="178"/>
      <c r="B153" s="178"/>
      <c r="C153" s="172"/>
      <c r="D153" s="172"/>
      <c r="E153" s="192">
        <f>IF((F135-F150)&gt;0,(MROUND((+F135-F150),0.05)),((MROUND((+F135-F150),-0.05))))</f>
        <v>-1101.55</v>
      </c>
      <c r="F153" s="172"/>
      <c r="AO153">
        <v>5324</v>
      </c>
      <c r="AP153" t="s">
        <v>180</v>
      </c>
      <c r="AQ153" t="s">
        <v>173</v>
      </c>
    </row>
    <row r="154" spans="1:43" ht="21" customHeight="1" x14ac:dyDescent="0.35">
      <c r="A154" s="171" t="str">
        <f>IF(E153&gt;0,L155,L156)</f>
        <v>Aufgrund dieser Berechnung erhalten Sie für den Monat Februar 2025 keine finanzielle Unterstützung</v>
      </c>
      <c r="B154" s="178"/>
      <c r="C154" s="172"/>
      <c r="D154" s="172"/>
      <c r="E154" s="172"/>
      <c r="F154" s="172"/>
      <c r="N154" s="63"/>
      <c r="O154" s="63"/>
      <c r="P154" s="63"/>
      <c r="S154" s="63"/>
      <c r="T154" s="63"/>
      <c r="AO154">
        <v>5325</v>
      </c>
      <c r="AP154" t="s">
        <v>181</v>
      </c>
      <c r="AQ154" t="s">
        <v>173</v>
      </c>
    </row>
    <row r="155" spans="1:43" ht="7.5" customHeight="1" x14ac:dyDescent="0.35">
      <c r="A155" s="171"/>
      <c r="B155" s="178"/>
      <c r="C155" s="172"/>
      <c r="D155" s="172"/>
      <c r="E155" s="172"/>
      <c r="F155" s="172"/>
      <c r="L155" s="53" t="str">
        <f>CONCATENATE("Aufgrund dieser Berechnung erhalten Sie für den Monat ",M17," ",N17," finanzielle Unterstützung bestehend aus")</f>
        <v>Aufgrund dieser Berechnung erhalten Sie für den Monat Februar 2025 finanzielle Unterstützung bestehend aus</v>
      </c>
      <c r="M155" s="27" t="s">
        <v>71</v>
      </c>
      <c r="N155" s="63"/>
      <c r="O155" s="63"/>
      <c r="P155" s="63"/>
      <c r="S155" s="63"/>
      <c r="T155" s="63"/>
    </row>
    <row r="156" spans="1:43" ht="16.5" x14ac:dyDescent="0.35">
      <c r="A156" s="199" t="str">
        <f>IF(F156=0,""," Bargeld-Unterstützung")</f>
        <v/>
      </c>
      <c r="B156" s="200"/>
      <c r="C156" s="199"/>
      <c r="D156" s="199"/>
      <c r="E156" s="202"/>
      <c r="F156" s="201">
        <f>IF(N164&lt;0,0,O158)</f>
        <v>0</v>
      </c>
      <c r="L156" s="53" t="str">
        <f>CONCATENATE("Aufgrund dieser Berechnung erhalten Sie für den Monat ",M17," ",N17," keine finanzielle Unterstützung")</f>
        <v>Aufgrund dieser Berechnung erhalten Sie für den Monat Februar 2025 keine finanzielle Unterstützung</v>
      </c>
      <c r="M156" s="63"/>
      <c r="N156" s="64"/>
      <c r="O156" s="63"/>
      <c r="P156" s="63"/>
      <c r="S156" s="63"/>
      <c r="T156" s="63"/>
      <c r="AO156">
        <v>5326</v>
      </c>
      <c r="AP156" t="s">
        <v>182</v>
      </c>
      <c r="AQ156" t="s">
        <v>98</v>
      </c>
    </row>
    <row r="157" spans="1:43" ht="16.5" x14ac:dyDescent="0.35">
      <c r="A157" s="172" t="str">
        <f>IF(F157=0,""," Übernahme von Wohnkosten inkl. Nebenkosten / Benutzungsgebühr Unterkunft")</f>
        <v/>
      </c>
      <c r="B157" s="178"/>
      <c r="C157" s="172"/>
      <c r="D157" s="172"/>
      <c r="F157" s="207">
        <f>IF(N164&lt;0,0,P159)</f>
        <v>0</v>
      </c>
      <c r="K157" s="143" t="s">
        <v>377</v>
      </c>
      <c r="M157" s="63"/>
      <c r="N157" s="65" t="s">
        <v>73</v>
      </c>
      <c r="O157" s="65" t="s">
        <v>68</v>
      </c>
      <c r="P157" s="65" t="s">
        <v>39</v>
      </c>
      <c r="S157" s="65"/>
      <c r="T157" s="65" t="s">
        <v>72</v>
      </c>
      <c r="AO157">
        <v>5330</v>
      </c>
      <c r="AP157" t="s">
        <v>183</v>
      </c>
      <c r="AQ157" t="s">
        <v>173</v>
      </c>
    </row>
    <row r="158" spans="1:43" ht="16.5" x14ac:dyDescent="0.35">
      <c r="A158" s="199" t="str">
        <f>IF(F158=0,"",(IF(AND(F158&gt;0.01,F158&lt;C41)," Teilweise Übernahme der Krankenkassenprämie"," Übernahme der gesamten Krankenkassenprämie")))</f>
        <v/>
      </c>
      <c r="B158" s="199"/>
      <c r="C158" s="199"/>
      <c r="D158" s="199"/>
      <c r="E158" s="202"/>
      <c r="F158" s="201">
        <f>IF(O160&lt;0,0,(IF(B41=0,(F152-F156),(IF(N164&lt;0,0,O160)))))</f>
        <v>0</v>
      </c>
      <c r="M158" s="66" t="s">
        <v>63</v>
      </c>
      <c r="N158" s="64">
        <f>+F135-F118-F121</f>
        <v>1541.0000000000005</v>
      </c>
      <c r="O158" s="64">
        <f>IF(N163&lt;N158,N158-N163,0)</f>
        <v>0</v>
      </c>
      <c r="P158" s="64"/>
      <c r="S158" s="64"/>
      <c r="T158" s="64"/>
      <c r="Y158" t="s">
        <v>360</v>
      </c>
      <c r="Z158" t="s">
        <v>361</v>
      </c>
      <c r="AA158" t="s">
        <v>362</v>
      </c>
      <c r="AO158">
        <v>5332</v>
      </c>
      <c r="AP158" t="s">
        <v>282</v>
      </c>
      <c r="AQ158" t="s">
        <v>173</v>
      </c>
    </row>
    <row r="159" spans="1:43" ht="23.15" customHeight="1" x14ac:dyDescent="0.35">
      <c r="A159" s="210" t="str">
        <f>IF(F159=0,"","Total Unterstützungsbetrag")</f>
        <v/>
      </c>
      <c r="B159" s="208"/>
      <c r="C159" s="208"/>
      <c r="D159" s="209"/>
      <c r="E159" s="209"/>
      <c r="F159" s="209">
        <f>SUM(F156:F158)</f>
        <v>0</v>
      </c>
      <c r="M159" s="66" t="s">
        <v>64</v>
      </c>
      <c r="N159" s="64">
        <f>F121</f>
        <v>810</v>
      </c>
      <c r="O159" s="64">
        <f>IF(O158&gt;0,N159,(N158+N159-N163))</f>
        <v>-2008.9999999999995</v>
      </c>
      <c r="P159" s="64">
        <f>IF(O159&lt;0,0,O159)</f>
        <v>0</v>
      </c>
      <c r="S159" s="64">
        <f>+N159-P159</f>
        <v>810</v>
      </c>
      <c r="T159" s="64" t="s">
        <v>9</v>
      </c>
      <c r="U159" t="str">
        <f>IF(S159&gt;0.01,"Beteiligung an den Kosten für die Unterbringung / Miete. Die Gemeinde stellt eine Rechnung in der Höhe von Fr. ","")</f>
        <v xml:space="preserve">Beteiligung an den Kosten für die Unterbringung / Miete. Die Gemeinde stellt eine Rechnung in der Höhe von Fr. </v>
      </c>
      <c r="V159" s="23">
        <f>IF(S159&gt;0.01,S159,"")</f>
        <v>810</v>
      </c>
      <c r="W159">
        <f>IF(S159&gt;0.01,1,0)</f>
        <v>1</v>
      </c>
      <c r="Y159" s="131" t="str">
        <f>IF(S159&gt;0.01,(CONCATENATE("Fr. ",(TEXT(S159,"#'##0.00")))),"")</f>
        <v>Fr. '810.00</v>
      </c>
      <c r="Z159" s="131" t="str">
        <f>IF(S159&gt;0.01,(CONCATENATE("Fr. ",(TEXT(S159,"###0.00")))),"")</f>
        <v>Fr. 810.00</v>
      </c>
      <c r="AA159" t="str">
        <f>IF(S159&gt;999.99,Y159,Z159)</f>
        <v>Fr. 810.00</v>
      </c>
      <c r="AO159">
        <v>5333</v>
      </c>
      <c r="AP159" t="s">
        <v>184</v>
      </c>
      <c r="AQ159" t="s">
        <v>173</v>
      </c>
    </row>
    <row r="160" spans="1:43" ht="16.5" hidden="1" x14ac:dyDescent="0.35">
      <c r="A160" s="172"/>
      <c r="B160" s="172"/>
      <c r="C160" s="172"/>
      <c r="D160" s="172"/>
      <c r="E160" s="193"/>
      <c r="F160" s="194" t="s">
        <v>324</v>
      </c>
      <c r="I160" s="141" t="s">
        <v>324</v>
      </c>
      <c r="M160" s="66" t="s">
        <v>65</v>
      </c>
      <c r="N160" s="64">
        <f>F118</f>
        <v>907.44999999999993</v>
      </c>
      <c r="O160" s="64">
        <f>IF(O159&lt;0.01,(N158+N159+N160-N163),N160)</f>
        <v>-1101.5499999999997</v>
      </c>
      <c r="P160" s="64">
        <f>IF(O160&lt;0,0,O160)</f>
        <v>0</v>
      </c>
      <c r="S160" s="64">
        <f>IF(O160&lt;0.01,N160,(+N160-O160))</f>
        <v>907.44999999999993</v>
      </c>
      <c r="T160" s="64" t="s">
        <v>70</v>
      </c>
      <c r="U160" t="str">
        <f>IF(S160&gt;0.01,"Beteiligung an den Kosten für die Krankenkassenprämie. Der Kantonale Sozialdienst stellt eine Rechnung in der Höhe von Fr. ","")</f>
        <v xml:space="preserve">Beteiligung an den Kosten für die Krankenkassenprämie. Der Kantonale Sozialdienst stellt eine Rechnung in der Höhe von Fr. </v>
      </c>
      <c r="V160" s="23">
        <f>IF(S160&gt;0.01,S160,"")</f>
        <v>907.44999999999993</v>
      </c>
      <c r="W160">
        <f>IF(S160&gt;0.01,1,0)</f>
        <v>1</v>
      </c>
      <c r="Y160" s="131" t="str">
        <f>IF(S160&gt;0.01,(CONCATENATE("Fr. ",(TEXT(S160,"#'##0.00")))),"")</f>
        <v>Fr. '907.45</v>
      </c>
      <c r="Z160" s="131" t="str">
        <f>IF(S160&gt;0.01,(CONCATENATE("Fr. ",(TEXT(S160,"###0.00")))),"")</f>
        <v>Fr. 907.45</v>
      </c>
      <c r="AA160" t="str">
        <f>IF(S160&gt;999.99,Y160,Z160)</f>
        <v>Fr. 907.45</v>
      </c>
      <c r="AO160">
        <v>5334</v>
      </c>
      <c r="AP160" t="s">
        <v>185</v>
      </c>
      <c r="AQ160" t="s">
        <v>173</v>
      </c>
    </row>
    <row r="161" spans="1:67" ht="16.5" hidden="1" x14ac:dyDescent="0.35">
      <c r="A161" s="172"/>
      <c r="B161" s="172"/>
      <c r="C161" s="172"/>
      <c r="D161" s="172"/>
      <c r="E161" s="172"/>
      <c r="F161" s="194" t="s">
        <v>324</v>
      </c>
      <c r="I161" s="141" t="s">
        <v>324</v>
      </c>
      <c r="M161" s="66" t="s">
        <v>67</v>
      </c>
      <c r="N161" s="64">
        <f>SUM(N158:N160)</f>
        <v>3258.4500000000003</v>
      </c>
      <c r="O161" s="64"/>
      <c r="P161" s="64"/>
      <c r="S161" s="64"/>
      <c r="T161" s="64"/>
      <c r="W161">
        <f>+W160+W159</f>
        <v>2</v>
      </c>
      <c r="AO161">
        <v>5400</v>
      </c>
      <c r="AP161" t="s">
        <v>186</v>
      </c>
      <c r="AQ161" t="s">
        <v>169</v>
      </c>
    </row>
    <row r="162" spans="1:67" ht="16.5" hidden="1" x14ac:dyDescent="0.35">
      <c r="A162" s="172" t="s">
        <v>62</v>
      </c>
      <c r="B162" s="195" t="str">
        <f>IF(E153&lt;0.01,"nicht unterstützt / arbeitet",O167)</f>
        <v>nicht unterstützt / arbeitet</v>
      </c>
      <c r="C162" s="195"/>
      <c r="D162" s="172"/>
      <c r="E162" s="172"/>
      <c r="F162" s="194" t="s">
        <v>324</v>
      </c>
      <c r="I162" s="141" t="s">
        <v>324</v>
      </c>
      <c r="M162" s="63"/>
      <c r="N162" s="64"/>
      <c r="O162" s="64"/>
      <c r="P162" s="64"/>
      <c r="S162" s="64"/>
      <c r="T162" s="64"/>
      <c r="AO162">
        <v>5404</v>
      </c>
      <c r="AP162" t="s">
        <v>186</v>
      </c>
      <c r="AQ162" t="s">
        <v>169</v>
      </c>
    </row>
    <row r="163" spans="1:67" ht="4.5" hidden="1" customHeight="1" x14ac:dyDescent="0.35">
      <c r="A163" s="172"/>
      <c r="B163" s="172"/>
      <c r="C163" s="172"/>
      <c r="D163" s="172"/>
      <c r="E163" s="172"/>
      <c r="F163" s="194" t="s">
        <v>324</v>
      </c>
      <c r="I163" s="141" t="s">
        <v>324</v>
      </c>
      <c r="M163" s="66" t="s">
        <v>66</v>
      </c>
      <c r="N163" s="64">
        <f>+F150</f>
        <v>4360</v>
      </c>
      <c r="O163" s="64"/>
      <c r="P163" s="64"/>
      <c r="S163" s="64"/>
      <c r="T163" s="64"/>
      <c r="AO163">
        <v>5405</v>
      </c>
      <c r="AP163" t="s">
        <v>186</v>
      </c>
      <c r="AQ163" t="s">
        <v>169</v>
      </c>
    </row>
    <row r="164" spans="1:67" ht="34" customHeight="1" x14ac:dyDescent="0.35">
      <c r="A164" s="196" t="str">
        <f>IF(F156&gt;0.01,"Aufgrund dieser Berechnung beteiligen Sie sich in diesem Monat nicht an den Kosten für Miete und Krankenkasse.",((IF(G8=1,"Aufgrund der Höhe Ihres Einkommens, beträgt Ihre Beteiligung an den monatlichen Kosten:","Aufgrund der Höhe des Einkommens beträgt Ihre Beteiligung an den monatlichen Kosten für:"))))</f>
        <v>Aufgrund der Höhe des Einkommens beträgt Ihre Beteiligung an den monatlichen Kosten für:</v>
      </c>
      <c r="B164" s="172"/>
      <c r="C164" s="172"/>
      <c r="D164" s="172"/>
      <c r="E164" s="172"/>
      <c r="F164" s="174"/>
      <c r="K164" t="s">
        <v>392</v>
      </c>
      <c r="M164" s="66" t="s">
        <v>69</v>
      </c>
      <c r="N164" s="64">
        <f>+N161-N163</f>
        <v>-1101.5499999999997</v>
      </c>
      <c r="O164" s="64"/>
      <c r="P164" s="64"/>
      <c r="S164" s="64"/>
      <c r="T164" s="64"/>
      <c r="AO164">
        <v>5406</v>
      </c>
      <c r="AP164" t="s">
        <v>186</v>
      </c>
      <c r="AQ164" t="s">
        <v>169</v>
      </c>
    </row>
    <row r="165" spans="1:67" ht="25.5" customHeight="1" x14ac:dyDescent="0.35">
      <c r="A165" s="176" t="str">
        <f>IF(S159&gt;0.01," Unterbringung / Miete:","")</f>
        <v xml:space="preserve"> Unterbringung / Miete:</v>
      </c>
      <c r="B165" s="259" t="str">
        <f>CONCATENATE(AA159)</f>
        <v>Fr. 810.00</v>
      </c>
      <c r="C165" s="176" t="str">
        <f>IF(B85&lt;&gt;"",B85,((IF(S159&gt;0.01,"Die Gemeinde stellt Ihnen eine Rechnung zu.",""))))</f>
        <v>Die Gemeinde stellt Ihnen eine Rechnung zu.</v>
      </c>
      <c r="D165" s="176"/>
      <c r="E165" s="176"/>
      <c r="F165" s="246"/>
      <c r="K165" t="s">
        <v>393</v>
      </c>
      <c r="M165" s="63"/>
      <c r="N165" s="64"/>
      <c r="O165" s="64"/>
      <c r="P165" s="64"/>
      <c r="S165" s="64"/>
      <c r="T165" s="64"/>
      <c r="AO165">
        <v>5408</v>
      </c>
      <c r="AP165" t="s">
        <v>187</v>
      </c>
      <c r="AQ165" t="s">
        <v>169</v>
      </c>
    </row>
    <row r="166" spans="1:67" ht="19.5" customHeight="1" x14ac:dyDescent="0.35">
      <c r="A166" s="176" t="str">
        <f>IF(S160&gt;0.01," die Krankenkassenprämie:","")</f>
        <v xml:space="preserve"> die Krankenkassenprämie:</v>
      </c>
      <c r="B166" s="259" t="str">
        <f>CONCATENATE(AA160)</f>
        <v>Fr. 907.45</v>
      </c>
      <c r="C166" s="176" t="str">
        <f>IF(S160&gt;0.01,"Der Kantonale Sozialdienst stellt Ihnen eine Rechnung zu.","")</f>
        <v>Der Kantonale Sozialdienst stellt Ihnen eine Rechnung zu.</v>
      </c>
      <c r="D166" s="176"/>
      <c r="E166" s="176"/>
      <c r="F166" s="246"/>
      <c r="M166" t="s">
        <v>325</v>
      </c>
      <c r="AO166">
        <v>5412</v>
      </c>
      <c r="AP166" t="s">
        <v>188</v>
      </c>
      <c r="AQ166" t="s">
        <v>169</v>
      </c>
    </row>
    <row r="167" spans="1:67" ht="19.5" customHeight="1" x14ac:dyDescent="0.35">
      <c r="A167" s="176"/>
      <c r="B167" s="176"/>
      <c r="C167" s="176"/>
      <c r="D167" s="176"/>
      <c r="E167" s="176"/>
      <c r="F167" s="246"/>
      <c r="I167" s="22" t="s">
        <v>324</v>
      </c>
      <c r="N167" t="str">
        <f>IF((O158+O159)&gt;0.01,"teilunterstützt / arbeitet","")</f>
        <v/>
      </c>
      <c r="O167" t="str">
        <f>IF(N167="teilunterstützt / arbeitet","teilunterstützt / arbeitet","nur mit Krankenkasse unterstützt")</f>
        <v>nur mit Krankenkasse unterstützt</v>
      </c>
      <c r="AO167">
        <v>5413</v>
      </c>
      <c r="AP167" t="s">
        <v>283</v>
      </c>
      <c r="AQ167" t="s">
        <v>169</v>
      </c>
      <c r="BO167" t="s">
        <v>355</v>
      </c>
    </row>
    <row r="168" spans="1:67" ht="19.5" customHeight="1" x14ac:dyDescent="0.35">
      <c r="A168" s="176"/>
      <c r="B168" s="176"/>
      <c r="C168" s="176" t="str">
        <f>VLOOKUP(W161,S168:T170,2,FALSE)</f>
        <v>Bitte begleichen Sie diese Rechnungen so rasch wie möglich</v>
      </c>
      <c r="D168" s="176"/>
      <c r="E168" s="176"/>
      <c r="F168" s="246"/>
      <c r="S168" s="69">
        <v>1</v>
      </c>
      <c r="T168" s="69" t="s">
        <v>341</v>
      </c>
      <c r="AO168">
        <v>5415</v>
      </c>
      <c r="AP168" t="s">
        <v>189</v>
      </c>
      <c r="AQ168" t="s">
        <v>169</v>
      </c>
    </row>
    <row r="169" spans="1:67" ht="27.65" customHeight="1" x14ac:dyDescent="0.35">
      <c r="A169" s="176" t="str">
        <f>IF(E153&lt;0," Der in diesem Monat ausgewiesene Überschuss muss aufgespart werden und wird im Folgemonat den Einnahmen angerechnet.","")</f>
        <v xml:space="preserve"> Der in diesem Monat ausgewiesene Überschuss muss aufgespart werden und wird im Folgemonat den Einnahmen angerechnet.</v>
      </c>
      <c r="B169" s="176"/>
      <c r="C169" s="247"/>
      <c r="D169" s="176"/>
      <c r="E169" s="176"/>
      <c r="F169" s="246"/>
      <c r="S169" s="69">
        <v>2</v>
      </c>
      <c r="T169" s="69" t="s">
        <v>340</v>
      </c>
    </row>
    <row r="170" spans="1:67" ht="28.5" customHeight="1" x14ac:dyDescent="0.35">
      <c r="A170" s="196" t="s">
        <v>74</v>
      </c>
      <c r="B170" s="172" t="str">
        <f>CONCATENATE(B78)</f>
        <v/>
      </c>
      <c r="C170" s="172"/>
      <c r="D170" s="172"/>
      <c r="E170" s="172"/>
      <c r="F170" s="174"/>
      <c r="S170">
        <v>0</v>
      </c>
      <c r="T170" t="s">
        <v>347</v>
      </c>
      <c r="AO170">
        <v>5416</v>
      </c>
      <c r="AP170" t="s">
        <v>189</v>
      </c>
      <c r="AQ170" t="s">
        <v>169</v>
      </c>
    </row>
    <row r="171" spans="1:67" ht="16.5" x14ac:dyDescent="0.35">
      <c r="A171" s="196"/>
      <c r="B171" s="172" t="str">
        <f>CONCATENATE(B79)</f>
        <v/>
      </c>
      <c r="C171" s="172"/>
      <c r="D171" s="172"/>
      <c r="E171" s="172"/>
      <c r="F171" s="174"/>
      <c r="AO171">
        <v>5417</v>
      </c>
      <c r="AP171" t="s">
        <v>170</v>
      </c>
      <c r="AQ171" t="s">
        <v>169</v>
      </c>
    </row>
    <row r="172" spans="1:67" ht="16.5" x14ac:dyDescent="0.35">
      <c r="A172" s="196"/>
      <c r="B172" s="172" t="str">
        <f>CONCATENATE(B80)</f>
        <v/>
      </c>
      <c r="C172" s="172"/>
      <c r="D172" s="172"/>
      <c r="E172" s="172"/>
      <c r="F172" s="174"/>
      <c r="AO172">
        <v>5420</v>
      </c>
      <c r="AP172" t="s">
        <v>190</v>
      </c>
      <c r="AQ172" t="s">
        <v>169</v>
      </c>
    </row>
    <row r="173" spans="1:67" ht="16.5" x14ac:dyDescent="0.35">
      <c r="A173" s="196"/>
      <c r="B173" s="172"/>
      <c r="C173" s="172"/>
      <c r="D173" s="172"/>
      <c r="E173" s="172"/>
      <c r="F173" s="174"/>
      <c r="AO173">
        <v>5423</v>
      </c>
      <c r="AP173" t="s">
        <v>191</v>
      </c>
      <c r="AQ173" t="s">
        <v>169</v>
      </c>
    </row>
    <row r="174" spans="1:67" ht="16.5" x14ac:dyDescent="0.35">
      <c r="A174" s="196" t="s">
        <v>391</v>
      </c>
      <c r="B174" s="339" t="str">
        <f>CONCATENATE(B87)</f>
        <v>Sozialdienst, Gemeinde, Kontaktperson, Telefon / E-Mail</v>
      </c>
      <c r="C174" s="339"/>
      <c r="D174" s="339"/>
      <c r="E174" s="339"/>
      <c r="F174" s="339"/>
      <c r="L174" t="s">
        <v>358</v>
      </c>
      <c r="AO174">
        <v>5425</v>
      </c>
      <c r="AP174" t="s">
        <v>192</v>
      </c>
      <c r="AQ174" t="s">
        <v>173</v>
      </c>
    </row>
    <row r="175" spans="1:67" ht="16.5" hidden="1" x14ac:dyDescent="0.35">
      <c r="A175" s="196"/>
      <c r="B175" s="172"/>
      <c r="C175" s="172"/>
      <c r="D175" s="172"/>
      <c r="E175" s="172"/>
      <c r="F175" s="174"/>
      <c r="L175" t="s">
        <v>359</v>
      </c>
      <c r="AO175">
        <v>5426</v>
      </c>
      <c r="AP175" t="s">
        <v>284</v>
      </c>
      <c r="AQ175" t="s">
        <v>173</v>
      </c>
    </row>
    <row r="176" spans="1:67" ht="16.5" x14ac:dyDescent="0.35">
      <c r="A176" s="196"/>
      <c r="B176" s="172"/>
      <c r="C176" s="172"/>
      <c r="D176" s="172"/>
      <c r="E176" s="172"/>
      <c r="F176" s="174"/>
      <c r="L176" s="143" t="s">
        <v>366</v>
      </c>
      <c r="AO176">
        <v>5430</v>
      </c>
      <c r="AP176" t="s">
        <v>193</v>
      </c>
      <c r="AQ176" t="s">
        <v>169</v>
      </c>
    </row>
    <row r="177" spans="1:43" ht="16.5" hidden="1" x14ac:dyDescent="0.35">
      <c r="A177" s="196"/>
      <c r="B177" s="172"/>
      <c r="C177" s="172"/>
      <c r="D177" s="172"/>
      <c r="E177" s="172"/>
      <c r="F177" s="174"/>
      <c r="AO177">
        <v>5432</v>
      </c>
      <c r="AP177" t="s">
        <v>194</v>
      </c>
      <c r="AQ177" t="s">
        <v>169</v>
      </c>
    </row>
    <row r="178" spans="1:43" ht="16.5" hidden="1" x14ac:dyDescent="0.35">
      <c r="A178" s="196"/>
      <c r="B178" s="172"/>
      <c r="C178" s="172"/>
      <c r="D178" s="172"/>
      <c r="E178" s="172"/>
      <c r="F178" s="174"/>
      <c r="AO178">
        <v>5436</v>
      </c>
      <c r="AP178" t="s">
        <v>195</v>
      </c>
      <c r="AQ178" t="s">
        <v>169</v>
      </c>
    </row>
    <row r="179" spans="1:43" ht="16.5" x14ac:dyDescent="0.35">
      <c r="A179" s="196" t="s">
        <v>378</v>
      </c>
      <c r="B179" s="197">
        <f>F19</f>
        <v>45689</v>
      </c>
      <c r="C179" s="172"/>
      <c r="D179" s="172"/>
      <c r="E179" s="172"/>
      <c r="F179" s="174"/>
      <c r="AO179">
        <v>5442</v>
      </c>
      <c r="AP179" t="s">
        <v>196</v>
      </c>
      <c r="AQ179" t="s">
        <v>169</v>
      </c>
    </row>
    <row r="180" spans="1:43" ht="16.5" x14ac:dyDescent="0.35">
      <c r="A180" s="196"/>
      <c r="B180" s="172"/>
      <c r="C180" s="172"/>
      <c r="D180" s="172"/>
      <c r="E180" s="172"/>
      <c r="F180" s="174"/>
      <c r="AO180">
        <v>5443</v>
      </c>
      <c r="AP180" t="s">
        <v>197</v>
      </c>
      <c r="AQ180" t="s">
        <v>169</v>
      </c>
    </row>
    <row r="181" spans="1:43" ht="16.5" x14ac:dyDescent="0.35">
      <c r="A181" s="172"/>
      <c r="B181" s="172"/>
      <c r="C181" s="172"/>
      <c r="D181" s="172"/>
      <c r="E181" s="172"/>
      <c r="F181" s="174"/>
    </row>
    <row r="182" spans="1:43" ht="48.65" customHeight="1" x14ac:dyDescent="0.3">
      <c r="N182" s="23"/>
    </row>
    <row r="183" spans="1:43" ht="14.5" hidden="1" x14ac:dyDescent="0.35">
      <c r="A183" s="85"/>
      <c r="E183" s="164"/>
      <c r="H183" s="69" t="s">
        <v>303</v>
      </c>
      <c r="I183" s="69"/>
      <c r="J183" s="69"/>
      <c r="K183" s="69"/>
      <c r="M183" s="53" t="s">
        <v>304</v>
      </c>
      <c r="N183" s="53"/>
      <c r="O183" s="53"/>
    </row>
    <row r="184" spans="1:43" hidden="1" x14ac:dyDescent="0.3">
      <c r="A184" s="87" t="s">
        <v>299</v>
      </c>
      <c r="C184" s="61" t="s">
        <v>302</v>
      </c>
      <c r="D184" s="61"/>
      <c r="E184" s="88" t="e">
        <f>#REF!</f>
        <v>#REF!</v>
      </c>
      <c r="M184" s="53"/>
      <c r="N184" s="53"/>
      <c r="O184" s="53"/>
    </row>
    <row r="185" spans="1:43" hidden="1" x14ac:dyDescent="0.3">
      <c r="A185" s="85" t="str">
        <f t="shared" ref="A185:A192" si="36">IF(N185&gt;0.01,M185,"")</f>
        <v>Ali Mohammed</v>
      </c>
      <c r="B185" s="79">
        <f t="shared" ref="B185:B192" si="37">IF(O185="ja",N185,0)</f>
        <v>1137.45</v>
      </c>
      <c r="E185" s="89">
        <f>SUM(N185:N192)</f>
        <v>3119.45</v>
      </c>
      <c r="M185" s="53" t="str">
        <f t="shared" ref="M185:M192" si="38">CONCATENATE(A8," ",B8)</f>
        <v>Ali Mohammed</v>
      </c>
      <c r="N185" s="83">
        <f>IFERROR((D106+E106+($L$16*7.5)+($L$16*9)+C29),"")</f>
        <v>1137.45</v>
      </c>
      <c r="O185" s="53" t="str">
        <f t="shared" ref="O185:O192" si="39">IF(F8&gt;17,"ja","nein")</f>
        <v>ja</v>
      </c>
      <c r="AO185">
        <v>5444</v>
      </c>
      <c r="AP185" t="s">
        <v>198</v>
      </c>
      <c r="AQ185" t="s">
        <v>169</v>
      </c>
    </row>
    <row r="186" spans="1:43" hidden="1" x14ac:dyDescent="0.3">
      <c r="A186" s="85" t="str">
        <f t="shared" si="36"/>
        <v>Ali Laila</v>
      </c>
      <c r="B186" s="79">
        <f t="shared" si="37"/>
        <v>1137.45</v>
      </c>
      <c r="E186" s="90"/>
      <c r="G186" t="s">
        <v>335</v>
      </c>
      <c r="M186" s="53" t="str">
        <f t="shared" si="38"/>
        <v>Ali Laila</v>
      </c>
      <c r="N186" s="83">
        <f>IFERROR((D107+E107+($L$16*7.5)+($L$16*9)+C30),"")</f>
        <v>1137.45</v>
      </c>
      <c r="O186" s="53" t="str">
        <f t="shared" si="39"/>
        <v>ja</v>
      </c>
      <c r="AO186">
        <v>5453</v>
      </c>
      <c r="AP186" t="s">
        <v>200</v>
      </c>
      <c r="AQ186" t="s">
        <v>169</v>
      </c>
    </row>
    <row r="187" spans="1:43" hidden="1" x14ac:dyDescent="0.3">
      <c r="A187" s="85" t="str">
        <f t="shared" si="36"/>
        <v>Ali Junior</v>
      </c>
      <c r="B187" s="79">
        <f t="shared" si="37"/>
        <v>0</v>
      </c>
      <c r="C187" s="61" t="s">
        <v>300</v>
      </c>
      <c r="D187" s="61"/>
      <c r="E187" s="91"/>
      <c r="G187" t="s">
        <v>336</v>
      </c>
      <c r="M187" s="53" t="str">
        <f t="shared" si="38"/>
        <v>Ali Junior</v>
      </c>
      <c r="N187" s="83">
        <f>IFERROR((D108+E108+($L$16*7.5)+($L$16*9)+C31),"")</f>
        <v>844.55</v>
      </c>
      <c r="O187" s="53" t="str">
        <f t="shared" si="39"/>
        <v>nein</v>
      </c>
      <c r="AO187">
        <v>5454</v>
      </c>
      <c r="AP187" t="s">
        <v>201</v>
      </c>
      <c r="AQ187" t="s">
        <v>169</v>
      </c>
    </row>
    <row r="188" spans="1:43" hidden="1" x14ac:dyDescent="0.3">
      <c r="A188" s="85" t="str">
        <f t="shared" si="36"/>
        <v xml:space="preserve"> </v>
      </c>
      <c r="B188" s="79" t="str">
        <f t="shared" si="37"/>
        <v/>
      </c>
      <c r="C188" t="s">
        <v>305</v>
      </c>
      <c r="E188" s="92">
        <f>SUM(B185:B195)</f>
        <v>2274.9</v>
      </c>
      <c r="G188" t="s">
        <v>337</v>
      </c>
      <c r="M188" s="53" t="str">
        <f t="shared" si="38"/>
        <v xml:space="preserve"> </v>
      </c>
      <c r="N188" s="83" t="str">
        <f>IFERROR((D109+E109+($L$16*7.5)+($L$16*9)+C32),"")</f>
        <v/>
      </c>
      <c r="O188" s="53" t="str">
        <f t="shared" si="39"/>
        <v>ja</v>
      </c>
      <c r="AO188">
        <v>5462</v>
      </c>
      <c r="AP188" t="s">
        <v>202</v>
      </c>
      <c r="AQ188" t="s">
        <v>173</v>
      </c>
    </row>
    <row r="189" spans="1:43" hidden="1" x14ac:dyDescent="0.3">
      <c r="A189" s="85" t="str">
        <f t="shared" si="36"/>
        <v xml:space="preserve"> </v>
      </c>
      <c r="B189" s="79" t="str">
        <f t="shared" si="37"/>
        <v/>
      </c>
      <c r="E189" s="90"/>
      <c r="M189" s="53" t="str">
        <f t="shared" si="38"/>
        <v xml:space="preserve"> </v>
      </c>
      <c r="N189" s="83" t="str">
        <f>IFERROR((D110+E110+($L$16*7.5)+($L$16*9)+C33),"")</f>
        <v/>
      </c>
      <c r="O189" s="53" t="str">
        <f t="shared" si="39"/>
        <v>ja</v>
      </c>
      <c r="AO189">
        <v>5463</v>
      </c>
      <c r="AP189" t="s">
        <v>203</v>
      </c>
      <c r="AQ189" t="s">
        <v>173</v>
      </c>
    </row>
    <row r="190" spans="1:43" hidden="1" x14ac:dyDescent="0.3">
      <c r="A190" s="85" t="str">
        <f t="shared" si="36"/>
        <v xml:space="preserve"> </v>
      </c>
      <c r="B190" s="79" t="str">
        <f t="shared" si="37"/>
        <v/>
      </c>
      <c r="C190" s="61" t="s">
        <v>312</v>
      </c>
      <c r="D190" s="61"/>
      <c r="E190" s="91"/>
      <c r="M190" s="53" t="str">
        <f t="shared" si="38"/>
        <v xml:space="preserve"> </v>
      </c>
      <c r="N190" s="83" t="str">
        <f>IFERROR((D111+E111+($L$16*7.5)+($L$16*9)+C38),"")</f>
        <v/>
      </c>
      <c r="O190" s="53" t="str">
        <f t="shared" si="39"/>
        <v>ja</v>
      </c>
      <c r="AO190">
        <v>5464</v>
      </c>
      <c r="AP190" t="s">
        <v>204</v>
      </c>
      <c r="AQ190" t="s">
        <v>173</v>
      </c>
    </row>
    <row r="191" spans="1:43" hidden="1" x14ac:dyDescent="0.3">
      <c r="A191" s="85" t="str">
        <f t="shared" si="36"/>
        <v xml:space="preserve"> </v>
      </c>
      <c r="B191" s="79" t="str">
        <f t="shared" si="37"/>
        <v/>
      </c>
      <c r="E191" s="92">
        <f>-F150</f>
        <v>-4360</v>
      </c>
      <c r="M191" s="53" t="str">
        <f t="shared" si="38"/>
        <v xml:space="preserve"> </v>
      </c>
      <c r="N191" s="83" t="str">
        <f>IFERROR((D112+E112+($L$16*7.5)+($L$16*9)+C39),"")</f>
        <v/>
      </c>
      <c r="O191" s="53" t="str">
        <f t="shared" si="39"/>
        <v>ja</v>
      </c>
      <c r="AO191">
        <v>5465</v>
      </c>
      <c r="AP191" t="s">
        <v>205</v>
      </c>
      <c r="AQ191" t="s">
        <v>173</v>
      </c>
    </row>
    <row r="192" spans="1:43" hidden="1" x14ac:dyDescent="0.3">
      <c r="A192" s="85" t="str">
        <f t="shared" si="36"/>
        <v xml:space="preserve"> </v>
      </c>
      <c r="B192" s="79" t="str">
        <f t="shared" si="37"/>
        <v/>
      </c>
      <c r="E192" s="90"/>
      <c r="M192" s="53" t="str">
        <f t="shared" si="38"/>
        <v xml:space="preserve"> </v>
      </c>
      <c r="N192" s="83" t="str">
        <f>IFERROR((D113+E113+($L$16*7.5)+($L$16*9)+C40),"")</f>
        <v/>
      </c>
      <c r="O192" s="53" t="str">
        <f t="shared" si="39"/>
        <v>ja</v>
      </c>
      <c r="AO192">
        <v>5466</v>
      </c>
      <c r="AP192" t="s">
        <v>206</v>
      </c>
      <c r="AQ192" t="s">
        <v>173</v>
      </c>
    </row>
    <row r="193" spans="1:43" ht="14.5" hidden="1" x14ac:dyDescent="0.35">
      <c r="A193" s="84"/>
      <c r="B193" s="79"/>
      <c r="C193" s="61" t="s">
        <v>313</v>
      </c>
      <c r="D193" s="61"/>
      <c r="E193" s="91"/>
      <c r="AO193">
        <v>5467</v>
      </c>
      <c r="AP193" t="s">
        <v>207</v>
      </c>
      <c r="AQ193" t="s">
        <v>173</v>
      </c>
    </row>
    <row r="194" spans="1:43" ht="14.5" hidden="1" x14ac:dyDescent="0.35">
      <c r="A194" s="93"/>
      <c r="B194" s="94"/>
      <c r="C194" s="86"/>
      <c r="D194" s="86"/>
      <c r="E194" s="95">
        <f>IF(-E191&gt;E188,0,+E191+E188)</f>
        <v>0</v>
      </c>
      <c r="AO194">
        <v>5502</v>
      </c>
      <c r="AP194" t="s">
        <v>208</v>
      </c>
      <c r="AQ194" t="s">
        <v>147</v>
      </c>
    </row>
    <row r="195" spans="1:43" hidden="1" x14ac:dyDescent="0.3">
      <c r="F195"/>
      <c r="AO195">
        <v>5503</v>
      </c>
      <c r="AP195" t="s">
        <v>209</v>
      </c>
      <c r="AQ195" t="s">
        <v>147</v>
      </c>
    </row>
    <row r="196" spans="1:43" ht="14.5" hidden="1" x14ac:dyDescent="0.35">
      <c r="A196" s="28" t="s">
        <v>314</v>
      </c>
      <c r="AO196">
        <v>5504</v>
      </c>
      <c r="AP196" t="s">
        <v>210</v>
      </c>
      <c r="AQ196" t="s">
        <v>147</v>
      </c>
    </row>
    <row r="197" spans="1:43" ht="14.5" hidden="1" x14ac:dyDescent="0.35">
      <c r="A197" s="28" t="s">
        <v>315</v>
      </c>
      <c r="AO197">
        <v>5505</v>
      </c>
      <c r="AP197" t="s">
        <v>211</v>
      </c>
      <c r="AQ197" t="s">
        <v>147</v>
      </c>
    </row>
    <row r="198" spans="1:43" ht="14.5" hidden="1" x14ac:dyDescent="0.35">
      <c r="A198" s="28" t="s">
        <v>344</v>
      </c>
      <c r="AO198">
        <v>5506</v>
      </c>
      <c r="AP198" t="s">
        <v>212</v>
      </c>
      <c r="AQ198" t="s">
        <v>169</v>
      </c>
    </row>
    <row r="199" spans="1:43" ht="14.5" hidden="1" x14ac:dyDescent="0.35">
      <c r="A199" s="69" t="s">
        <v>345</v>
      </c>
      <c r="AO199">
        <v>5507</v>
      </c>
      <c r="AP199" t="s">
        <v>213</v>
      </c>
      <c r="AQ199" t="s">
        <v>169</v>
      </c>
    </row>
    <row r="200" spans="1:43" hidden="1" x14ac:dyDescent="0.3">
      <c r="AO200">
        <v>5512</v>
      </c>
      <c r="AP200" t="s">
        <v>214</v>
      </c>
      <c r="AQ200" t="s">
        <v>169</v>
      </c>
    </row>
    <row r="201" spans="1:43" hidden="1" x14ac:dyDescent="0.3">
      <c r="AO201">
        <v>5522</v>
      </c>
      <c r="AP201" t="s">
        <v>215</v>
      </c>
      <c r="AQ201" t="s">
        <v>199</v>
      </c>
    </row>
    <row r="202" spans="1:43" hidden="1" x14ac:dyDescent="0.3">
      <c r="AO202">
        <v>5524</v>
      </c>
      <c r="AP202" t="s">
        <v>285</v>
      </c>
      <c r="AQ202" t="s">
        <v>199</v>
      </c>
    </row>
    <row r="203" spans="1:43" hidden="1" x14ac:dyDescent="0.3">
      <c r="AO203">
        <v>5525</v>
      </c>
      <c r="AP203" t="s">
        <v>80</v>
      </c>
      <c r="AQ203" t="s">
        <v>199</v>
      </c>
    </row>
    <row r="204" spans="1:43" hidden="1" x14ac:dyDescent="0.3">
      <c r="AO204">
        <v>5600</v>
      </c>
      <c r="AP204" t="s">
        <v>216</v>
      </c>
      <c r="AQ204" t="s">
        <v>147</v>
      </c>
    </row>
    <row r="205" spans="1:43" hidden="1" x14ac:dyDescent="0.3">
      <c r="AO205">
        <v>5603</v>
      </c>
      <c r="AP205" t="s">
        <v>217</v>
      </c>
      <c r="AQ205" t="s">
        <v>147</v>
      </c>
    </row>
    <row r="206" spans="1:43" x14ac:dyDescent="0.3">
      <c r="AO206">
        <v>5604</v>
      </c>
      <c r="AP206" t="s">
        <v>218</v>
      </c>
      <c r="AQ206" t="s">
        <v>147</v>
      </c>
    </row>
    <row r="207" spans="1:43" x14ac:dyDescent="0.3">
      <c r="AO207">
        <v>5605</v>
      </c>
      <c r="AP207" t="s">
        <v>219</v>
      </c>
      <c r="AQ207" t="s">
        <v>199</v>
      </c>
    </row>
    <row r="208" spans="1:43" x14ac:dyDescent="0.3">
      <c r="AO208">
        <v>5606</v>
      </c>
      <c r="AP208" t="s">
        <v>220</v>
      </c>
      <c r="AQ208" t="s">
        <v>147</v>
      </c>
    </row>
    <row r="209" spans="41:43" x14ac:dyDescent="0.3">
      <c r="AO209">
        <v>5607</v>
      </c>
      <c r="AP209" t="s">
        <v>221</v>
      </c>
      <c r="AQ209" t="s">
        <v>199</v>
      </c>
    </row>
    <row r="210" spans="41:43" x14ac:dyDescent="0.3">
      <c r="AO210">
        <v>5608</v>
      </c>
      <c r="AP210" t="s">
        <v>286</v>
      </c>
      <c r="AQ210" t="s">
        <v>169</v>
      </c>
    </row>
    <row r="211" spans="41:43" x14ac:dyDescent="0.3">
      <c r="AO211">
        <v>5610</v>
      </c>
      <c r="AP211" t="s">
        <v>287</v>
      </c>
      <c r="AQ211" t="s">
        <v>199</v>
      </c>
    </row>
    <row r="212" spans="41:43" x14ac:dyDescent="0.3">
      <c r="AO212">
        <v>5611</v>
      </c>
      <c r="AP212" t="s">
        <v>287</v>
      </c>
      <c r="AQ212" t="s">
        <v>199</v>
      </c>
    </row>
    <row r="213" spans="41:43" x14ac:dyDescent="0.3">
      <c r="AO213">
        <v>5612</v>
      </c>
      <c r="AP213" t="s">
        <v>222</v>
      </c>
      <c r="AQ213" t="s">
        <v>199</v>
      </c>
    </row>
    <row r="214" spans="41:43" x14ac:dyDescent="0.3">
      <c r="AO214">
        <v>5613</v>
      </c>
      <c r="AP214" t="s">
        <v>222</v>
      </c>
      <c r="AQ214" t="s">
        <v>199</v>
      </c>
    </row>
    <row r="215" spans="41:43" x14ac:dyDescent="0.3">
      <c r="AO215">
        <v>5614</v>
      </c>
      <c r="AP215" t="s">
        <v>223</v>
      </c>
      <c r="AQ215" t="s">
        <v>199</v>
      </c>
    </row>
    <row r="216" spans="41:43" x14ac:dyDescent="0.3">
      <c r="AO216">
        <v>5615</v>
      </c>
      <c r="AP216" t="s">
        <v>224</v>
      </c>
      <c r="AQ216" t="s">
        <v>147</v>
      </c>
    </row>
    <row r="217" spans="41:43" x14ac:dyDescent="0.3">
      <c r="AO217">
        <v>5616</v>
      </c>
      <c r="AP217" t="s">
        <v>225</v>
      </c>
      <c r="AQ217" t="s">
        <v>147</v>
      </c>
    </row>
    <row r="218" spans="41:43" x14ac:dyDescent="0.3">
      <c r="AO218">
        <v>5617</v>
      </c>
      <c r="AP218" t="s">
        <v>225</v>
      </c>
      <c r="AQ218" t="s">
        <v>147</v>
      </c>
    </row>
    <row r="219" spans="41:43" x14ac:dyDescent="0.3">
      <c r="AO219">
        <v>5618</v>
      </c>
      <c r="AP219" t="s">
        <v>226</v>
      </c>
      <c r="AQ219" t="s">
        <v>227</v>
      </c>
    </row>
    <row r="220" spans="41:43" x14ac:dyDescent="0.3">
      <c r="AO220">
        <v>5619</v>
      </c>
      <c r="AP220" t="s">
        <v>228</v>
      </c>
      <c r="AQ220" t="s">
        <v>199</v>
      </c>
    </row>
    <row r="221" spans="41:43" x14ac:dyDescent="0.3">
      <c r="AO221">
        <v>5620</v>
      </c>
      <c r="AP221" t="s">
        <v>288</v>
      </c>
      <c r="AQ221" t="s">
        <v>199</v>
      </c>
    </row>
    <row r="222" spans="41:43" x14ac:dyDescent="0.3">
      <c r="AO222">
        <v>5621</v>
      </c>
      <c r="AP222" t="s">
        <v>229</v>
      </c>
      <c r="AQ222" t="s">
        <v>199</v>
      </c>
    </row>
    <row r="223" spans="41:43" x14ac:dyDescent="0.3">
      <c r="AO223">
        <v>5622</v>
      </c>
      <c r="AP223" t="s">
        <v>230</v>
      </c>
      <c r="AQ223" t="s">
        <v>227</v>
      </c>
    </row>
    <row r="224" spans="41:43" x14ac:dyDescent="0.3">
      <c r="AO224">
        <v>5623</v>
      </c>
      <c r="AP224" t="s">
        <v>231</v>
      </c>
      <c r="AQ224" t="s">
        <v>227</v>
      </c>
    </row>
    <row r="225" spans="41:43" x14ac:dyDescent="0.3">
      <c r="AO225">
        <v>5624</v>
      </c>
      <c r="AP225" t="s">
        <v>232</v>
      </c>
      <c r="AQ225" t="s">
        <v>227</v>
      </c>
    </row>
    <row r="226" spans="41:43" x14ac:dyDescent="0.3">
      <c r="AO226">
        <v>5625</v>
      </c>
      <c r="AP226" t="s">
        <v>233</v>
      </c>
      <c r="AQ226" t="s">
        <v>227</v>
      </c>
    </row>
    <row r="227" spans="41:43" x14ac:dyDescent="0.3">
      <c r="AO227">
        <v>5626</v>
      </c>
      <c r="AP227" t="s">
        <v>288</v>
      </c>
      <c r="AQ227" t="s">
        <v>199</v>
      </c>
    </row>
    <row r="228" spans="41:43" x14ac:dyDescent="0.3">
      <c r="AO228">
        <v>5627</v>
      </c>
      <c r="AP228" t="s">
        <v>234</v>
      </c>
      <c r="AQ228" t="s">
        <v>227</v>
      </c>
    </row>
    <row r="229" spans="41:43" x14ac:dyDescent="0.3">
      <c r="AO229">
        <v>5628</v>
      </c>
      <c r="AP229" t="s">
        <v>235</v>
      </c>
      <c r="AQ229" t="s">
        <v>227</v>
      </c>
    </row>
    <row r="230" spans="41:43" x14ac:dyDescent="0.3">
      <c r="AO230">
        <v>5630</v>
      </c>
      <c r="AP230" t="s">
        <v>289</v>
      </c>
      <c r="AQ230" t="s">
        <v>227</v>
      </c>
    </row>
    <row r="231" spans="41:43" x14ac:dyDescent="0.3">
      <c r="AO231">
        <v>5632</v>
      </c>
      <c r="AP231" t="s">
        <v>236</v>
      </c>
      <c r="AQ231" t="s">
        <v>227</v>
      </c>
    </row>
    <row r="232" spans="41:43" x14ac:dyDescent="0.3">
      <c r="AO232">
        <v>5634</v>
      </c>
      <c r="AP232" t="s">
        <v>237</v>
      </c>
      <c r="AQ232" t="s">
        <v>227</v>
      </c>
    </row>
    <row r="233" spans="41:43" x14ac:dyDescent="0.3">
      <c r="AO233">
        <v>5636</v>
      </c>
      <c r="AP233" t="s">
        <v>237</v>
      </c>
      <c r="AQ233" t="s">
        <v>227</v>
      </c>
    </row>
    <row r="234" spans="41:43" x14ac:dyDescent="0.3">
      <c r="AO234">
        <v>5637</v>
      </c>
      <c r="AP234" t="s">
        <v>238</v>
      </c>
      <c r="AQ234" t="s">
        <v>227</v>
      </c>
    </row>
    <row r="235" spans="41:43" x14ac:dyDescent="0.3">
      <c r="AO235">
        <v>5642</v>
      </c>
      <c r="AP235" t="s">
        <v>239</v>
      </c>
      <c r="AQ235" t="s">
        <v>227</v>
      </c>
    </row>
    <row r="236" spans="41:43" x14ac:dyDescent="0.3">
      <c r="AO236">
        <v>5643</v>
      </c>
      <c r="AP236" t="s">
        <v>240</v>
      </c>
      <c r="AQ236" t="s">
        <v>227</v>
      </c>
    </row>
    <row r="237" spans="41:43" x14ac:dyDescent="0.3">
      <c r="AO237">
        <v>5644</v>
      </c>
      <c r="AP237" t="s">
        <v>241</v>
      </c>
      <c r="AQ237" t="s">
        <v>227</v>
      </c>
    </row>
    <row r="238" spans="41:43" x14ac:dyDescent="0.3">
      <c r="AO238">
        <v>5645</v>
      </c>
      <c r="AP238" t="s">
        <v>240</v>
      </c>
      <c r="AQ238" t="s">
        <v>227</v>
      </c>
    </row>
    <row r="239" spans="41:43" x14ac:dyDescent="0.3">
      <c r="AO239">
        <v>5646</v>
      </c>
      <c r="AP239" t="s">
        <v>242</v>
      </c>
      <c r="AQ239" t="s">
        <v>227</v>
      </c>
    </row>
    <row r="240" spans="41:43" x14ac:dyDescent="0.3">
      <c r="AO240">
        <v>5647</v>
      </c>
      <c r="AP240" t="s">
        <v>243</v>
      </c>
      <c r="AQ240" t="s">
        <v>227</v>
      </c>
    </row>
    <row r="241" spans="41:43" x14ac:dyDescent="0.3">
      <c r="AO241">
        <v>5702</v>
      </c>
      <c r="AP241" t="s">
        <v>244</v>
      </c>
      <c r="AQ241" t="s">
        <v>147</v>
      </c>
    </row>
    <row r="242" spans="41:43" x14ac:dyDescent="0.3">
      <c r="AO242">
        <v>5703</v>
      </c>
      <c r="AP242" t="s">
        <v>245</v>
      </c>
      <c r="AQ242" t="s">
        <v>147</v>
      </c>
    </row>
    <row r="243" spans="41:43" x14ac:dyDescent="0.3">
      <c r="AO243">
        <v>5704</v>
      </c>
      <c r="AP243" t="s">
        <v>246</v>
      </c>
      <c r="AQ243" t="s">
        <v>147</v>
      </c>
    </row>
    <row r="244" spans="41:43" x14ac:dyDescent="0.3">
      <c r="AO244">
        <v>5705</v>
      </c>
      <c r="AP244" t="s">
        <v>247</v>
      </c>
      <c r="AQ244" t="s">
        <v>147</v>
      </c>
    </row>
    <row r="245" spans="41:43" x14ac:dyDescent="0.3">
      <c r="AO245">
        <v>5706</v>
      </c>
      <c r="AP245" t="s">
        <v>248</v>
      </c>
      <c r="AQ245" t="s">
        <v>147</v>
      </c>
    </row>
    <row r="246" spans="41:43" x14ac:dyDescent="0.3">
      <c r="AO246">
        <v>5707</v>
      </c>
      <c r="AP246" t="s">
        <v>249</v>
      </c>
      <c r="AQ246" t="s">
        <v>147</v>
      </c>
    </row>
    <row r="247" spans="41:43" x14ac:dyDescent="0.3">
      <c r="AO247">
        <v>5708</v>
      </c>
      <c r="AP247" t="s">
        <v>250</v>
      </c>
      <c r="AQ247" t="s">
        <v>123</v>
      </c>
    </row>
    <row r="248" spans="41:43" x14ac:dyDescent="0.3">
      <c r="AO248">
        <v>5712</v>
      </c>
      <c r="AP248" t="s">
        <v>251</v>
      </c>
      <c r="AQ248" t="s">
        <v>123</v>
      </c>
    </row>
    <row r="249" spans="41:43" x14ac:dyDescent="0.3">
      <c r="AO249">
        <v>5722</v>
      </c>
      <c r="AP249" t="s">
        <v>252</v>
      </c>
      <c r="AQ249" t="s">
        <v>112</v>
      </c>
    </row>
    <row r="250" spans="41:43" x14ac:dyDescent="0.3">
      <c r="AO250">
        <v>5723</v>
      </c>
      <c r="AP250" t="s">
        <v>290</v>
      </c>
      <c r="AQ250" t="s">
        <v>123</v>
      </c>
    </row>
    <row r="251" spans="41:43" x14ac:dyDescent="0.3">
      <c r="AO251">
        <v>5724</v>
      </c>
      <c r="AP251" t="s">
        <v>253</v>
      </c>
      <c r="AQ251" t="s">
        <v>123</v>
      </c>
    </row>
    <row r="252" spans="41:43" x14ac:dyDescent="0.3">
      <c r="AO252">
        <v>5725</v>
      </c>
      <c r="AP252" t="s">
        <v>254</v>
      </c>
      <c r="AQ252" t="s">
        <v>123</v>
      </c>
    </row>
    <row r="253" spans="41:43" x14ac:dyDescent="0.3">
      <c r="AO253">
        <v>5726</v>
      </c>
      <c r="AP253" t="s">
        <v>255</v>
      </c>
      <c r="AQ253" t="s">
        <v>123</v>
      </c>
    </row>
    <row r="254" spans="41:43" x14ac:dyDescent="0.3">
      <c r="AO254">
        <v>5727</v>
      </c>
      <c r="AP254" t="s">
        <v>256</v>
      </c>
      <c r="AQ254" t="s">
        <v>123</v>
      </c>
    </row>
    <row r="255" spans="41:43" x14ac:dyDescent="0.3">
      <c r="AO255">
        <v>5728</v>
      </c>
      <c r="AP255" t="s">
        <v>257</v>
      </c>
      <c r="AQ255" t="s">
        <v>123</v>
      </c>
    </row>
    <row r="256" spans="41:43" x14ac:dyDescent="0.3">
      <c r="AO256">
        <v>5732</v>
      </c>
      <c r="AP256" t="s">
        <v>258</v>
      </c>
      <c r="AQ256" t="s">
        <v>123</v>
      </c>
    </row>
    <row r="257" spans="41:43" x14ac:dyDescent="0.3">
      <c r="AO257">
        <v>5733</v>
      </c>
      <c r="AP257" t="s">
        <v>291</v>
      </c>
      <c r="AQ257" t="s">
        <v>123</v>
      </c>
    </row>
    <row r="258" spans="41:43" x14ac:dyDescent="0.3">
      <c r="AO258">
        <v>5734</v>
      </c>
      <c r="AP258" t="s">
        <v>292</v>
      </c>
      <c r="AQ258" t="s">
        <v>123</v>
      </c>
    </row>
    <row r="259" spans="41:43" x14ac:dyDescent="0.3">
      <c r="AO259">
        <v>5736</v>
      </c>
      <c r="AP259" t="s">
        <v>293</v>
      </c>
      <c r="AQ259" t="s">
        <v>123</v>
      </c>
    </row>
    <row r="260" spans="41:43" x14ac:dyDescent="0.3">
      <c r="AO260">
        <v>5737</v>
      </c>
      <c r="AP260" t="s">
        <v>259</v>
      </c>
      <c r="AQ260" t="s">
        <v>123</v>
      </c>
    </row>
    <row r="261" spans="41:43" x14ac:dyDescent="0.3">
      <c r="AO261">
        <v>5742</v>
      </c>
      <c r="AP261" t="s">
        <v>260</v>
      </c>
      <c r="AQ261" t="s">
        <v>101</v>
      </c>
    </row>
    <row r="262" spans="41:43" x14ac:dyDescent="0.3">
      <c r="AO262">
        <v>5745</v>
      </c>
      <c r="AP262" t="s">
        <v>261</v>
      </c>
      <c r="AQ262" t="s">
        <v>101</v>
      </c>
    </row>
    <row r="263" spans="41:43" x14ac:dyDescent="0.3">
      <c r="AO263">
        <v>6042</v>
      </c>
      <c r="AP263" t="s">
        <v>262</v>
      </c>
      <c r="AQ263" t="s">
        <v>227</v>
      </c>
    </row>
    <row r="264" spans="41:43" x14ac:dyDescent="0.3">
      <c r="AO264">
        <v>8109</v>
      </c>
      <c r="AP264" t="s">
        <v>195</v>
      </c>
      <c r="AQ264" t="s">
        <v>169</v>
      </c>
    </row>
    <row r="265" spans="41:43" x14ac:dyDescent="0.3">
      <c r="AO265">
        <v>8905</v>
      </c>
      <c r="AP265" t="s">
        <v>294</v>
      </c>
      <c r="AQ265" t="s">
        <v>199</v>
      </c>
    </row>
    <row r="266" spans="41:43" x14ac:dyDescent="0.3">
      <c r="AO266">
        <v>8916</v>
      </c>
      <c r="AP266" t="s">
        <v>263</v>
      </c>
      <c r="AQ266" t="s">
        <v>199</v>
      </c>
    </row>
    <row r="267" spans="41:43" x14ac:dyDescent="0.3">
      <c r="AO267">
        <v>8917</v>
      </c>
      <c r="AP267" t="s">
        <v>264</v>
      </c>
      <c r="AQ267" t="s">
        <v>199</v>
      </c>
    </row>
    <row r="268" spans="41:43" x14ac:dyDescent="0.3">
      <c r="AO268">
        <v>8918</v>
      </c>
      <c r="AP268" t="s">
        <v>265</v>
      </c>
      <c r="AQ268" t="s">
        <v>199</v>
      </c>
    </row>
    <row r="269" spans="41:43" x14ac:dyDescent="0.3">
      <c r="AO269">
        <v>8919</v>
      </c>
      <c r="AP269" t="s">
        <v>266</v>
      </c>
      <c r="AQ269" t="s">
        <v>227</v>
      </c>
    </row>
    <row r="270" spans="41:43" x14ac:dyDescent="0.3">
      <c r="AO270">
        <v>8956</v>
      </c>
      <c r="AP270" t="s">
        <v>267</v>
      </c>
      <c r="AQ270" t="s">
        <v>169</v>
      </c>
    </row>
    <row r="271" spans="41:43" x14ac:dyDescent="0.3">
      <c r="AO271">
        <v>8957</v>
      </c>
      <c r="AP271" t="s">
        <v>268</v>
      </c>
      <c r="AQ271" t="s">
        <v>169</v>
      </c>
    </row>
    <row r="272" spans="41:43" x14ac:dyDescent="0.3">
      <c r="AO272">
        <v>8962</v>
      </c>
      <c r="AP272" t="s">
        <v>269</v>
      </c>
      <c r="AQ272" t="s">
        <v>169</v>
      </c>
    </row>
    <row r="273" spans="41:43" x14ac:dyDescent="0.3">
      <c r="AO273">
        <v>8964</v>
      </c>
      <c r="AP273" t="s">
        <v>270</v>
      </c>
      <c r="AQ273" t="s">
        <v>199</v>
      </c>
    </row>
    <row r="274" spans="41:43" x14ac:dyDescent="0.3">
      <c r="AO274">
        <v>8965</v>
      </c>
      <c r="AP274" t="s">
        <v>271</v>
      </c>
      <c r="AQ274" t="s">
        <v>199</v>
      </c>
    </row>
    <row r="275" spans="41:43" x14ac:dyDescent="0.3">
      <c r="AO275">
        <v>8966</v>
      </c>
      <c r="AP275" t="s">
        <v>272</v>
      </c>
      <c r="AQ275" t="s">
        <v>199</v>
      </c>
    </row>
    <row r="276" spans="41:43" x14ac:dyDescent="0.3">
      <c r="AO276">
        <v>8967</v>
      </c>
      <c r="AP276" t="s">
        <v>273</v>
      </c>
      <c r="AQ276" t="s">
        <v>199</v>
      </c>
    </row>
  </sheetData>
  <sheetProtection algorithmName="SHA-512" hashValue="N4Z6q+IkMcBYPtVua4OiXQUglIkvPw2iOulHJsaCK1lYws6dtXlX/GbHEZ5TJjoW+8pdsbbLKombm450L1G+9w==" saltValue="fofwJErmgJRtgGpoiqZeJw==" spinCount="100000" sheet="1" objects="1" scenarios="1"/>
  <mergeCells count="24">
    <mergeCell ref="D62:G62"/>
    <mergeCell ref="B17:C17"/>
    <mergeCell ref="B18:C18"/>
    <mergeCell ref="B19:C19"/>
    <mergeCell ref="C54:G54"/>
    <mergeCell ref="D55:G55"/>
    <mergeCell ref="D56:G56"/>
    <mergeCell ref="D57:G57"/>
    <mergeCell ref="D58:G58"/>
    <mergeCell ref="D59:G59"/>
    <mergeCell ref="D60:G60"/>
    <mergeCell ref="D61:G61"/>
    <mergeCell ref="B174:F174"/>
    <mergeCell ref="D65:F65"/>
    <mergeCell ref="D66:F66"/>
    <mergeCell ref="D67:F67"/>
    <mergeCell ref="D68:F68"/>
    <mergeCell ref="C72:F72"/>
    <mergeCell ref="C73:F73"/>
    <mergeCell ref="C74:F74"/>
    <mergeCell ref="B78:G78"/>
    <mergeCell ref="B79:G79"/>
    <mergeCell ref="B80:G80"/>
    <mergeCell ref="B85:E85"/>
  </mergeCells>
  <conditionalFormatting sqref="A44:A51">
    <cfRule type="cellIs" dxfId="12" priority="11" operator="equal">
      <formula>" ."</formula>
    </cfRule>
  </conditionalFormatting>
  <conditionalFormatting sqref="A55:A60">
    <cfRule type="cellIs" dxfId="11" priority="9" operator="equal">
      <formula>" ."</formula>
    </cfRule>
  </conditionalFormatting>
  <conditionalFormatting sqref="A159">
    <cfRule type="cellIs" dxfId="10" priority="3" operator="equal">
      <formula>"Total Unterstützungsbetrag"</formula>
    </cfRule>
  </conditionalFormatting>
  <conditionalFormatting sqref="B159:E159">
    <cfRule type="expression" dxfId="9" priority="2">
      <formula>$A$159="Total Unterstützungsbetrag"</formula>
    </cfRule>
  </conditionalFormatting>
  <conditionalFormatting sqref="C23">
    <cfRule type="cellIs" dxfId="8" priority="13" operator="greaterThan">
      <formula>0.01</formula>
    </cfRule>
  </conditionalFormatting>
  <conditionalFormatting sqref="C24">
    <cfRule type="cellIs" dxfId="7" priority="1" operator="greaterThan">
      <formula>19.99</formula>
    </cfRule>
  </conditionalFormatting>
  <conditionalFormatting sqref="C25">
    <cfRule type="cellIs" dxfId="6" priority="12" operator="greaterThan">
      <formula>0.01</formula>
    </cfRule>
  </conditionalFormatting>
  <conditionalFormatting sqref="F145:F149">
    <cfRule type="cellIs" dxfId="5" priority="7" operator="equal">
      <formula>0</formula>
    </cfRule>
  </conditionalFormatting>
  <conditionalFormatting sqref="F156">
    <cfRule type="cellIs" dxfId="4" priority="8" operator="equal">
      <formula>0</formula>
    </cfRule>
  </conditionalFormatting>
  <conditionalFormatting sqref="F157">
    <cfRule type="cellIs" dxfId="3" priority="6" operator="equal">
      <formula>0</formula>
    </cfRule>
  </conditionalFormatting>
  <conditionalFormatting sqref="F158">
    <cfRule type="cellIs" dxfId="2" priority="5" operator="equal">
      <formula>0</formula>
    </cfRule>
  </conditionalFormatting>
  <conditionalFormatting sqref="F159">
    <cfRule type="cellIs" dxfId="1" priority="4" operator="notEqual">
      <formula>0</formula>
    </cfRule>
  </conditionalFormatting>
  <conditionalFormatting sqref="G48:G49">
    <cfRule type="cellIs" dxfId="0" priority="10" operator="equal">
      <formula>0</formula>
    </cfRule>
  </conditionalFormatting>
  <dataValidations disablePrompts="1" count="1">
    <dataValidation type="list" showInputMessage="1" showErrorMessage="1" sqref="D29:D40" xr:uid="{90F6B91B-F719-4D2C-BF6A-FCCFC4D39EC4}">
      <formula1>$O$29:$O$30</formula1>
    </dataValidation>
  </dataValidations>
  <hyperlinks>
    <hyperlink ref="F22" r:id="rId1" xr:uid="{C3D954E2-AC47-4319-A8B2-75D2BEFACEDD}"/>
  </hyperlinks>
  <pageMargins left="0.39370078740157483" right="0.19685039370078741" top="0.78740157480314965" bottom="0.78740157480314965" header="0.31496062992125984" footer="0.31496062992125984"/>
  <pageSetup paperSize="9" scale="57" fitToHeight="2" orientation="portrait" r:id="rId2"/>
  <rowBreaks count="1" manualBreakCount="1">
    <brk id="90" max="6" man="1"/>
  </rowBreaks>
  <ignoredErrors>
    <ignoredError sqref="C29:C34" unlockedFormula="1"/>
  </ignoredErrors>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Januar 2025</vt:lpstr>
      <vt:lpstr>Beispiel</vt:lpstr>
      <vt:lpstr>Beispiel!Druckbereich</vt:lpstr>
      <vt:lpstr>'Januar 2025'!Druckbereich</vt:lpstr>
    </vt:vector>
  </TitlesOfParts>
  <Company>Kanton Aargau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Stauffer Reto  DGSKSD</dc:creator>
  <cp:lastModifiedBy>Stauffer Reto  DGSKSD</cp:lastModifiedBy>
  <cp:lastPrinted>2024-12-16T16:33:26Z</cp:lastPrinted>
  <dcterms:created xsi:type="dcterms:W3CDTF">2023-11-28T07:37:31Z</dcterms:created>
  <dcterms:modified xsi:type="dcterms:W3CDTF">2025-01-07T10:26:02Z</dcterms:modified>
</cp:coreProperties>
</file>