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Publikationen\18_OeffentlicheFinanzen\snat\02_Tabellen\2014\"/>
    </mc:Choice>
  </mc:AlternateContent>
  <bookViews>
    <workbookView xWindow="210" yWindow="2340" windowWidth="25020" windowHeight="12300" tabRatio="945"/>
  </bookViews>
  <sheets>
    <sheet name="Inhaltsverzeichnis" sheetId="1" r:id="rId1"/>
    <sheet name="T 1" sheetId="2" r:id="rId2"/>
    <sheet name="T 2" sheetId="3" r:id="rId3"/>
    <sheet name="T 3" sheetId="7" r:id="rId4"/>
    <sheet name="T 4" sheetId="6" r:id="rId5"/>
    <sheet name="T 5" sheetId="79" r:id="rId6"/>
    <sheet name="T 6" sheetId="38" r:id="rId7"/>
    <sheet name="T 7" sheetId="52" r:id="rId8"/>
    <sheet name="T 8" sheetId="54" r:id="rId9"/>
    <sheet name="T 9" sheetId="55" r:id="rId10"/>
    <sheet name="T 10" sheetId="56" r:id="rId11"/>
    <sheet name="T 11a" sheetId="57" r:id="rId12"/>
    <sheet name="T 11b" sheetId="58" r:id="rId13"/>
    <sheet name="T 12a" sheetId="59" r:id="rId14"/>
    <sheet name="T 12b" sheetId="60" r:id="rId15"/>
    <sheet name="T 13a" sheetId="61" r:id="rId16"/>
    <sheet name="T 13b" sheetId="62" r:id="rId17"/>
    <sheet name="T 14a" sheetId="89" r:id="rId18"/>
    <sheet name="T 14b" sheetId="90" r:id="rId19"/>
    <sheet name="T 15a" sheetId="91" r:id="rId20"/>
    <sheet name="T 15b" sheetId="92" r:id="rId21"/>
    <sheet name="T 16" sheetId="70" r:id="rId22"/>
    <sheet name="T 17" sheetId="71" r:id="rId23"/>
    <sheet name="T 18" sheetId="72" r:id="rId24"/>
    <sheet name="T 19" sheetId="76" r:id="rId25"/>
    <sheet name="T 20" sheetId="77" r:id="rId26"/>
    <sheet name="T 21a" sheetId="73" r:id="rId27"/>
    <sheet name="T 21b" sheetId="85" r:id="rId28"/>
    <sheet name="T 22a" sheetId="74" r:id="rId29"/>
    <sheet name="T 22b" sheetId="86" r:id="rId30"/>
    <sheet name="T 23" sheetId="4" r:id="rId31"/>
    <sheet name="T 24" sheetId="75" r:id="rId32"/>
    <sheet name="T 25" sheetId="78" r:id="rId33"/>
    <sheet name="T 26a" sheetId="84" r:id="rId34"/>
    <sheet name="T 26b" sheetId="87" r:id="rId35"/>
    <sheet name="T 27" sheetId="83" r:id="rId36"/>
    <sheet name="T 28" sheetId="88" r:id="rId37"/>
    <sheet name="Gemeindekarte" sheetId="51" r:id="rId38"/>
    <sheet name="Erläuterungen" sheetId="37" r:id="rId39"/>
  </sheets>
  <definedNames>
    <definedName name="_xlnm.Print_Area" localSheetId="38">Erläuterungen!$A$1:$B$63</definedName>
    <definedName name="_xlnm.Print_Area" localSheetId="37">Gemeindekarte!$A$1:$O$53</definedName>
    <definedName name="_xlnm.Print_Area" localSheetId="0">Inhaltsverzeichnis!$A$1:$K$73</definedName>
    <definedName name="_xlnm.Print_Area" localSheetId="1">'T 1'!$A$1:$J$72</definedName>
    <definedName name="_xlnm.Print_Area" localSheetId="10">'T 10'!$A$1:$L$40</definedName>
    <definedName name="_xlnm.Print_Area" localSheetId="11">'T 11a'!$A$1:$L$19</definedName>
    <definedName name="_xlnm.Print_Area" localSheetId="12">'T 11b'!$A$1:$L$18</definedName>
    <definedName name="_xlnm.Print_Area" localSheetId="13">'T 12a'!$A$1:$L$19</definedName>
    <definedName name="_xlnm.Print_Area" localSheetId="14">'T 12b'!$A$1:$L$18</definedName>
    <definedName name="_xlnm.Print_Area" localSheetId="15">'T 13a'!$A$1:$L$21</definedName>
    <definedName name="_xlnm.Print_Area" localSheetId="16">'T 13b'!$A$1:$L$20</definedName>
    <definedName name="_xlnm.Print_Area" localSheetId="17">'T 14a'!$A$1:$N$20</definedName>
    <definedName name="_xlnm.Print_Area" localSheetId="18">'T 14b'!$A$1:$N$19</definedName>
    <definedName name="_xlnm.Print_Area" localSheetId="19">'T 15a'!$A$1:$O$20</definedName>
    <definedName name="_xlnm.Print_Area" localSheetId="20">'T 15b'!$A$1:$O$19</definedName>
    <definedName name="_xlnm.Print_Area" localSheetId="21">'T 16'!$A$1:$L$19</definedName>
    <definedName name="_xlnm.Print_Area" localSheetId="22">'T 17'!$A$1:$L$18</definedName>
    <definedName name="_xlnm.Print_Area" localSheetId="23">'T 18'!$A$1:$K$40</definedName>
    <definedName name="_xlnm.Print_Area" localSheetId="24">'T 19'!$A$1:$N$19</definedName>
    <definedName name="_xlnm.Print_Area" localSheetId="2">'T 2'!$A$1:$G$21</definedName>
    <definedName name="_xlnm.Print_Area" localSheetId="25">'T 20'!$A$1:$N$18</definedName>
    <definedName name="_xlnm.Print_Area" localSheetId="26">'T 21a'!$A$1:$N$19</definedName>
    <definedName name="_xlnm.Print_Area" localSheetId="27">'T 21b'!$A$1:$N$47</definedName>
    <definedName name="_xlnm.Print_Area" localSheetId="28">'T 22a'!$A$1:$N$18</definedName>
    <definedName name="_xlnm.Print_Area" localSheetId="29">'T 22b'!$A$1:$N$47</definedName>
    <definedName name="_xlnm.Print_Area" localSheetId="30">'T 23'!$A$1:$L$16</definedName>
    <definedName name="_xlnm.Print_Area" localSheetId="31">'T 24'!$A$1:$N$48</definedName>
    <definedName name="_xlnm.Print_Area" localSheetId="32">'T 25'!$A$1:$N$50</definedName>
    <definedName name="_xlnm.Print_Area" localSheetId="33">'T 26a'!$A$1:$M$48</definedName>
    <definedName name="_xlnm.Print_Area" localSheetId="34">'T 26b'!$A$1:$N$47</definedName>
    <definedName name="_xlnm.Print_Area" localSheetId="35">'T 27'!$A$1:$K$235</definedName>
    <definedName name="_xlnm.Print_Area" localSheetId="36">'T 28'!$A$1:$M$236</definedName>
    <definedName name="_xlnm.Print_Area" localSheetId="3">'T 3'!$A$1:$L$23</definedName>
    <definedName name="_xlnm.Print_Area" localSheetId="4">'T 4'!$A$1:$L$16</definedName>
    <definedName name="_xlnm.Print_Area" localSheetId="5">'T 5'!$A$1:$N$17</definedName>
    <definedName name="_xlnm.Print_Area" localSheetId="6">'T 6'!$A$1:$J$38</definedName>
    <definedName name="_xlnm.Print_Area" localSheetId="7">'T 7'!$A$1:$J$95</definedName>
    <definedName name="_xlnm.Print_Area" localSheetId="8">'T 8'!$A$1:$J$41</definedName>
    <definedName name="_xlnm.Print_Area" localSheetId="9">'T 9'!$A$1:$I$39</definedName>
  </definedNames>
  <calcPr calcId="162913"/>
</workbook>
</file>

<file path=xl/calcChain.xml><?xml version="1.0" encoding="utf-8"?>
<calcChain xmlns="http://schemas.openxmlformats.org/spreadsheetml/2006/main">
  <c r="G18" i="3" l="1"/>
  <c r="C33" i="2" l="1"/>
  <c r="D33" i="2"/>
  <c r="E33" i="2"/>
  <c r="F33" i="2"/>
  <c r="G33" i="2"/>
  <c r="H33" i="2"/>
  <c r="I33" i="2"/>
  <c r="Q35" i="87" l="1"/>
  <c r="M6" i="91" l="1"/>
  <c r="N6" i="91"/>
  <c r="M7" i="91"/>
  <c r="N7" i="91"/>
  <c r="M8" i="91"/>
  <c r="N8" i="91"/>
  <c r="M9" i="91"/>
  <c r="N9" i="91"/>
  <c r="M10" i="91"/>
  <c r="N10" i="91"/>
  <c r="M11" i="91"/>
  <c r="N11" i="91"/>
  <c r="M12" i="91"/>
  <c r="N12" i="91"/>
  <c r="M13" i="91"/>
  <c r="N13" i="91"/>
  <c r="M14" i="91"/>
  <c r="N14" i="91"/>
  <c r="M15" i="91"/>
  <c r="N15" i="91"/>
  <c r="K6" i="90"/>
  <c r="L6" i="90"/>
  <c r="M6" i="90"/>
  <c r="K7" i="90"/>
  <c r="L7" i="90"/>
  <c r="M7" i="90"/>
  <c r="K8" i="90"/>
  <c r="L8" i="90"/>
  <c r="M8" i="90"/>
  <c r="K9" i="90"/>
  <c r="L9" i="90"/>
  <c r="M9" i="90"/>
  <c r="K10" i="90"/>
  <c r="L10" i="90"/>
  <c r="M10" i="90"/>
  <c r="K11" i="90"/>
  <c r="L11" i="90"/>
  <c r="M11" i="90"/>
  <c r="K12" i="90"/>
  <c r="L12" i="90"/>
  <c r="M12" i="90"/>
  <c r="K13" i="90"/>
  <c r="L13" i="90"/>
  <c r="M13" i="90"/>
  <c r="K6" i="89"/>
  <c r="L6" i="89"/>
  <c r="M6" i="89"/>
  <c r="N6" i="89"/>
  <c r="K7" i="89"/>
  <c r="L7" i="89"/>
  <c r="M7" i="89"/>
  <c r="N7" i="89"/>
  <c r="K8" i="89"/>
  <c r="L8" i="89"/>
  <c r="M8" i="89"/>
  <c r="N8" i="89"/>
  <c r="K9" i="89"/>
  <c r="L9" i="89"/>
  <c r="M9" i="89"/>
  <c r="N9" i="89"/>
  <c r="K10" i="89"/>
  <c r="L10" i="89"/>
  <c r="M10" i="89"/>
  <c r="N10" i="89"/>
  <c r="K11" i="89"/>
  <c r="L11" i="89"/>
  <c r="M11" i="89"/>
  <c r="N11" i="89"/>
  <c r="K12" i="89"/>
  <c r="L12" i="89"/>
  <c r="M12" i="89"/>
  <c r="N12" i="89"/>
  <c r="K13" i="89"/>
  <c r="L13" i="89"/>
  <c r="M13" i="89"/>
  <c r="N13" i="89"/>
  <c r="B1" i="51" l="1"/>
  <c r="Q34" i="87" l="1"/>
  <c r="F5" i="76" l="1"/>
  <c r="H5" i="76"/>
  <c r="J5" i="76"/>
  <c r="L5" i="76"/>
  <c r="N5" i="76"/>
  <c r="P51" i="52" l="1"/>
  <c r="C16" i="6"/>
  <c r="G17" i="3"/>
  <c r="I32" i="2"/>
  <c r="T60" i="2" s="1"/>
  <c r="H32" i="2"/>
  <c r="S60" i="2" s="1"/>
  <c r="G32" i="2"/>
  <c r="F32" i="2"/>
  <c r="R60" i="2" s="1"/>
  <c r="E32" i="2"/>
  <c r="Q60" i="2" s="1"/>
  <c r="D32" i="2"/>
  <c r="C32" i="2"/>
  <c r="P60" i="2" s="1"/>
  <c r="B1" i="88" l="1"/>
  <c r="F15" i="87" l="1"/>
  <c r="E15" i="87"/>
  <c r="D15" i="87"/>
  <c r="F14" i="87"/>
  <c r="E14" i="87"/>
  <c r="D14" i="87"/>
  <c r="F13" i="87"/>
  <c r="E13" i="87"/>
  <c r="D13" i="87"/>
  <c r="F12" i="87"/>
  <c r="E12" i="87"/>
  <c r="D12" i="87"/>
  <c r="F11" i="87"/>
  <c r="E11" i="87"/>
  <c r="D11" i="87"/>
  <c r="F10" i="87"/>
  <c r="E10" i="87"/>
  <c r="D10" i="87"/>
  <c r="F9" i="87"/>
  <c r="E9" i="87"/>
  <c r="D9" i="87"/>
  <c r="F8" i="87"/>
  <c r="E8" i="87"/>
  <c r="D8" i="87"/>
  <c r="F7" i="87"/>
  <c r="E7" i="87"/>
  <c r="D7" i="87"/>
  <c r="F6" i="87"/>
  <c r="E6" i="87"/>
  <c r="D6" i="87"/>
  <c r="F5" i="87"/>
  <c r="E5" i="87"/>
  <c r="D5" i="87"/>
  <c r="F4" i="87"/>
  <c r="E4" i="87"/>
  <c r="D4" i="87"/>
  <c r="R34" i="87" l="1"/>
  <c r="R35" i="87"/>
  <c r="S34" i="87"/>
  <c r="S35" i="87"/>
  <c r="T34" i="87"/>
  <c r="T35" i="87"/>
  <c r="P79" i="52"/>
  <c r="P80" i="52"/>
  <c r="P81" i="52"/>
  <c r="P82" i="52"/>
  <c r="P83" i="52"/>
  <c r="P84" i="52"/>
  <c r="P85" i="52"/>
  <c r="P78" i="52"/>
  <c r="P52" i="52"/>
  <c r="P53" i="52"/>
  <c r="P54" i="52"/>
  <c r="P55" i="52"/>
  <c r="P56" i="52"/>
  <c r="P57" i="52"/>
  <c r="G16" i="3" l="1"/>
  <c r="R33" i="87" l="1"/>
  <c r="S33" i="87"/>
  <c r="T33" i="87"/>
  <c r="Q33" i="87"/>
  <c r="F7" i="78"/>
  <c r="F8" i="78"/>
  <c r="F9" i="78"/>
  <c r="F10" i="78"/>
  <c r="F11" i="78"/>
  <c r="F12" i="78"/>
  <c r="F13" i="78"/>
  <c r="F14" i="78"/>
  <c r="F15" i="78"/>
  <c r="F16" i="78"/>
  <c r="F17" i="78"/>
  <c r="F18" i="78"/>
  <c r="V19" i="86" l="1"/>
  <c r="U19" i="86"/>
  <c r="T19" i="86"/>
  <c r="S19" i="86"/>
  <c r="R19" i="86"/>
  <c r="Q19" i="86"/>
  <c r="V18" i="86"/>
  <c r="U18" i="86"/>
  <c r="T18" i="86"/>
  <c r="S18" i="86"/>
  <c r="R18" i="86"/>
  <c r="Q18" i="86"/>
  <c r="W20" i="85"/>
  <c r="V20" i="85"/>
  <c r="U20" i="85"/>
  <c r="T20" i="85"/>
  <c r="S20" i="85"/>
  <c r="R20" i="85"/>
  <c r="Q20" i="85"/>
  <c r="W19" i="85"/>
  <c r="V19" i="85"/>
  <c r="U19" i="85"/>
  <c r="T19" i="85"/>
  <c r="S19" i="85"/>
  <c r="R19" i="85"/>
  <c r="Q19" i="85"/>
  <c r="I31" i="2" l="1"/>
  <c r="T59" i="2" s="1"/>
  <c r="H31" i="2"/>
  <c r="S59" i="2" s="1"/>
  <c r="G31" i="2"/>
  <c r="F31" i="2"/>
  <c r="R59" i="2" s="1"/>
  <c r="E31" i="2"/>
  <c r="Q59" i="2" s="1"/>
  <c r="D31" i="2"/>
  <c r="C31" i="2"/>
  <c r="P59" i="2" s="1"/>
  <c r="Q48" i="2" l="1"/>
  <c r="R48" i="2"/>
  <c r="S48" i="2"/>
  <c r="T48" i="2"/>
  <c r="P48" i="2"/>
  <c r="B1" i="92" l="1"/>
  <c r="L17" i="92"/>
  <c r="K17" i="92"/>
  <c r="J17" i="92"/>
  <c r="I17" i="92"/>
  <c r="H17" i="92"/>
  <c r="G17" i="92"/>
  <c r="F17" i="92"/>
  <c r="E17" i="92"/>
  <c r="D17" i="92"/>
  <c r="C17" i="92"/>
  <c r="N16" i="92"/>
  <c r="M16" i="92"/>
  <c r="N15" i="92"/>
  <c r="M15" i="92"/>
  <c r="N14" i="92"/>
  <c r="M14" i="92"/>
  <c r="N13" i="92"/>
  <c r="M13" i="92"/>
  <c r="N12" i="92"/>
  <c r="M12" i="92"/>
  <c r="N11" i="92"/>
  <c r="M11" i="92"/>
  <c r="N10" i="92"/>
  <c r="M10" i="92"/>
  <c r="N9" i="92"/>
  <c r="M9" i="92"/>
  <c r="N8" i="92"/>
  <c r="M8" i="92"/>
  <c r="N7" i="92"/>
  <c r="M7" i="92"/>
  <c r="N6" i="92"/>
  <c r="M6" i="92"/>
  <c r="N16" i="91"/>
  <c r="N17" i="91"/>
  <c r="M16" i="91"/>
  <c r="M17" i="91"/>
  <c r="B1" i="91"/>
  <c r="J18" i="91"/>
  <c r="I18" i="91"/>
  <c r="H18" i="91"/>
  <c r="G18" i="91"/>
  <c r="F18" i="91"/>
  <c r="E18" i="91"/>
  <c r="D18" i="91"/>
  <c r="C18" i="91"/>
  <c r="B1" i="90"/>
  <c r="J17" i="90"/>
  <c r="I17" i="90"/>
  <c r="H17" i="90"/>
  <c r="G17" i="90"/>
  <c r="F17" i="90"/>
  <c r="E17" i="90"/>
  <c r="D17" i="90"/>
  <c r="C17" i="90"/>
  <c r="N16" i="90"/>
  <c r="M16" i="90"/>
  <c r="L16" i="90"/>
  <c r="K16" i="90"/>
  <c r="N15" i="90"/>
  <c r="M15" i="90"/>
  <c r="L15" i="90"/>
  <c r="K15" i="90"/>
  <c r="N14" i="90"/>
  <c r="M14" i="90"/>
  <c r="L14" i="90"/>
  <c r="K14" i="90"/>
  <c r="K17" i="90" s="1"/>
  <c r="N13" i="90"/>
  <c r="N12" i="90"/>
  <c r="N11" i="90"/>
  <c r="N10" i="90"/>
  <c r="N9" i="90"/>
  <c r="N8" i="90"/>
  <c r="N7" i="90"/>
  <c r="N6" i="90"/>
  <c r="B1" i="89"/>
  <c r="N14" i="89"/>
  <c r="N15" i="89"/>
  <c r="N16" i="89"/>
  <c r="N17" i="89"/>
  <c r="M14" i="89"/>
  <c r="M15" i="89"/>
  <c r="M16" i="89"/>
  <c r="M17" i="89"/>
  <c r="L14" i="89"/>
  <c r="L15" i="89"/>
  <c r="L16" i="89"/>
  <c r="L17" i="89"/>
  <c r="K14" i="89"/>
  <c r="K15" i="89"/>
  <c r="K16" i="89"/>
  <c r="K17" i="89"/>
  <c r="J18" i="89"/>
  <c r="I18" i="89"/>
  <c r="H18" i="89"/>
  <c r="G18" i="89"/>
  <c r="F18" i="89"/>
  <c r="E18" i="89"/>
  <c r="D18" i="89"/>
  <c r="C18" i="89"/>
  <c r="N17" i="90" l="1"/>
  <c r="L18" i="89"/>
  <c r="N18" i="89"/>
  <c r="K18" i="89"/>
  <c r="M18" i="89"/>
  <c r="N18" i="91"/>
  <c r="M17" i="92"/>
  <c r="N17" i="92"/>
  <c r="K18" i="91"/>
  <c r="L18" i="91"/>
  <c r="M18" i="91"/>
  <c r="M17" i="90"/>
  <c r="L17" i="90"/>
  <c r="G14" i="3"/>
  <c r="G12" i="3"/>
  <c r="G10" i="3"/>
  <c r="G8" i="3"/>
  <c r="G6" i="3"/>
  <c r="I22" i="2"/>
  <c r="T50" i="2" s="1"/>
  <c r="I23" i="2"/>
  <c r="T51" i="2" s="1"/>
  <c r="I24" i="2"/>
  <c r="T52" i="2" s="1"/>
  <c r="I25" i="2"/>
  <c r="T53" i="2" s="1"/>
  <c r="I26" i="2"/>
  <c r="T54" i="2" s="1"/>
  <c r="I27" i="2"/>
  <c r="T55" i="2" s="1"/>
  <c r="I28" i="2"/>
  <c r="T56" i="2" s="1"/>
  <c r="I29" i="2"/>
  <c r="T57" i="2" s="1"/>
  <c r="I30" i="2"/>
  <c r="T58" i="2" s="1"/>
  <c r="I21" i="2"/>
  <c r="T49" i="2" s="1"/>
  <c r="H22" i="2"/>
  <c r="S50" i="2" s="1"/>
  <c r="H23" i="2"/>
  <c r="S51" i="2" s="1"/>
  <c r="H24" i="2"/>
  <c r="S52" i="2" s="1"/>
  <c r="H25" i="2"/>
  <c r="S53" i="2" s="1"/>
  <c r="H26" i="2"/>
  <c r="S54" i="2" s="1"/>
  <c r="H27" i="2"/>
  <c r="S55" i="2" s="1"/>
  <c r="H28" i="2"/>
  <c r="S56" i="2" s="1"/>
  <c r="H29" i="2"/>
  <c r="S57" i="2" s="1"/>
  <c r="H30" i="2"/>
  <c r="S58" i="2" s="1"/>
  <c r="H21" i="2"/>
  <c r="S49" i="2" s="1"/>
  <c r="G22" i="2"/>
  <c r="G23" i="2"/>
  <c r="G24" i="2"/>
  <c r="G25" i="2"/>
  <c r="G26" i="2"/>
  <c r="G27" i="2"/>
  <c r="G28" i="2"/>
  <c r="G29" i="2"/>
  <c r="G30" i="2"/>
  <c r="G21" i="2"/>
  <c r="F22" i="2"/>
  <c r="R50" i="2" s="1"/>
  <c r="F23" i="2"/>
  <c r="R51" i="2" s="1"/>
  <c r="F24" i="2"/>
  <c r="R52" i="2" s="1"/>
  <c r="F25" i="2"/>
  <c r="R53" i="2" s="1"/>
  <c r="F26" i="2"/>
  <c r="R54" i="2" s="1"/>
  <c r="F27" i="2"/>
  <c r="R55" i="2" s="1"/>
  <c r="F28" i="2"/>
  <c r="R56" i="2" s="1"/>
  <c r="F29" i="2"/>
  <c r="R57" i="2" s="1"/>
  <c r="F21" i="2"/>
  <c r="R49" i="2" s="1"/>
  <c r="E29" i="2"/>
  <c r="Q57" i="2" s="1"/>
  <c r="E30" i="2"/>
  <c r="Q58" i="2" s="1"/>
  <c r="E27" i="2"/>
  <c r="Q55" i="2" s="1"/>
  <c r="E28" i="2"/>
  <c r="Q56" i="2" s="1"/>
  <c r="E26" i="2"/>
  <c r="Q54" i="2" s="1"/>
  <c r="E25" i="2"/>
  <c r="Q53" i="2" s="1"/>
  <c r="E24" i="2"/>
  <c r="Q52" i="2" s="1"/>
  <c r="E23" i="2"/>
  <c r="Q51" i="2" s="1"/>
  <c r="E22" i="2"/>
  <c r="Q50" i="2" s="1"/>
  <c r="E21" i="2"/>
  <c r="Q49" i="2" s="1"/>
  <c r="D23" i="2"/>
  <c r="D24" i="2"/>
  <c r="D25" i="2"/>
  <c r="D26" i="2"/>
  <c r="D27" i="2"/>
  <c r="D28" i="2"/>
  <c r="D29" i="2"/>
  <c r="D30" i="2"/>
  <c r="D21" i="2"/>
  <c r="C22" i="2"/>
  <c r="P50" i="2" s="1"/>
  <c r="C23" i="2"/>
  <c r="P51" i="2" s="1"/>
  <c r="C24" i="2"/>
  <c r="P52" i="2" s="1"/>
  <c r="C25" i="2"/>
  <c r="P53" i="2" s="1"/>
  <c r="C26" i="2"/>
  <c r="P54" i="2" s="1"/>
  <c r="C27" i="2"/>
  <c r="P55" i="2" s="1"/>
  <c r="C28" i="2"/>
  <c r="P56" i="2" s="1"/>
  <c r="C29" i="2"/>
  <c r="P57" i="2" s="1"/>
  <c r="C30" i="2"/>
  <c r="P58" i="2" s="1"/>
  <c r="C21" i="2"/>
  <c r="P49" i="2" s="1"/>
  <c r="Q23" i="87" l="1"/>
  <c r="T24" i="87"/>
  <c r="T25" i="87"/>
  <c r="T26" i="87"/>
  <c r="T27" i="87"/>
  <c r="T28" i="87"/>
  <c r="T29" i="87"/>
  <c r="T30" i="87"/>
  <c r="T31" i="87"/>
  <c r="T32" i="87"/>
  <c r="T23" i="87"/>
  <c r="S24" i="87"/>
  <c r="S25" i="87"/>
  <c r="S26" i="87"/>
  <c r="S27" i="87"/>
  <c r="S28" i="87"/>
  <c r="S29" i="87"/>
  <c r="S30" i="87"/>
  <c r="S31" i="87"/>
  <c r="S32" i="87"/>
  <c r="S23" i="87"/>
  <c r="R24" i="87"/>
  <c r="R25" i="87"/>
  <c r="R26" i="87"/>
  <c r="R27" i="87"/>
  <c r="R28" i="87"/>
  <c r="R29" i="87"/>
  <c r="R30" i="87"/>
  <c r="R31" i="87"/>
  <c r="R32" i="87"/>
  <c r="R23" i="87"/>
  <c r="Q24" i="87"/>
  <c r="Q25" i="87"/>
  <c r="Q26" i="87"/>
  <c r="Q27" i="87"/>
  <c r="Q28" i="87"/>
  <c r="Q29" i="87"/>
  <c r="Q30" i="87"/>
  <c r="Q31" i="87"/>
  <c r="Q32" i="87"/>
  <c r="R22" i="87"/>
  <c r="S22" i="87"/>
  <c r="T22" i="87"/>
  <c r="B1" i="87"/>
  <c r="B1" i="85"/>
  <c r="B1" i="86"/>
  <c r="M11" i="86" l="1"/>
  <c r="K11" i="86"/>
  <c r="W19" i="86" s="1"/>
  <c r="I11" i="86"/>
  <c r="G11" i="86"/>
  <c r="E11" i="86"/>
  <c r="C11" i="86"/>
  <c r="W18" i="86" s="1"/>
  <c r="N10" i="86"/>
  <c r="L10" i="86"/>
  <c r="J10" i="86"/>
  <c r="H10" i="86"/>
  <c r="F10" i="86"/>
  <c r="D10" i="86"/>
  <c r="N9" i="86"/>
  <c r="L9" i="86"/>
  <c r="J9" i="86"/>
  <c r="H9" i="86"/>
  <c r="F9" i="86"/>
  <c r="D9" i="86"/>
  <c r="N8" i="86"/>
  <c r="L8" i="86"/>
  <c r="J8" i="86"/>
  <c r="H8" i="86"/>
  <c r="F8" i="86"/>
  <c r="D8" i="86"/>
  <c r="N7" i="86"/>
  <c r="L7" i="86"/>
  <c r="J7" i="86"/>
  <c r="H7" i="86"/>
  <c r="F7" i="86"/>
  <c r="D7" i="86"/>
  <c r="N6" i="86"/>
  <c r="L6" i="86"/>
  <c r="J6" i="86"/>
  <c r="H6" i="86"/>
  <c r="F6" i="86"/>
  <c r="D6" i="86"/>
  <c r="N5" i="86"/>
  <c r="L5" i="86"/>
  <c r="J5" i="86"/>
  <c r="H5" i="86"/>
  <c r="F5" i="86"/>
  <c r="D5" i="86"/>
  <c r="M12" i="85"/>
  <c r="K12" i="85"/>
  <c r="I12" i="85"/>
  <c r="X20" i="85" s="1"/>
  <c r="G12" i="85"/>
  <c r="E12" i="85"/>
  <c r="C12" i="85"/>
  <c r="X19" i="85" s="1"/>
  <c r="N11" i="85"/>
  <c r="L11" i="85"/>
  <c r="J11" i="85"/>
  <c r="H11" i="85"/>
  <c r="F11" i="85"/>
  <c r="D11" i="85"/>
  <c r="N10" i="85"/>
  <c r="L10" i="85"/>
  <c r="J10" i="85"/>
  <c r="H10" i="85"/>
  <c r="F10" i="85"/>
  <c r="D10" i="85"/>
  <c r="N9" i="85"/>
  <c r="L9" i="85"/>
  <c r="J9" i="85"/>
  <c r="H9" i="85"/>
  <c r="F9" i="85"/>
  <c r="D9" i="85"/>
  <c r="N8" i="85"/>
  <c r="L8" i="85"/>
  <c r="J8" i="85"/>
  <c r="H8" i="85"/>
  <c r="F8" i="85"/>
  <c r="D8" i="85"/>
  <c r="N7" i="85"/>
  <c r="L7" i="85"/>
  <c r="J7" i="85"/>
  <c r="H7" i="85"/>
  <c r="F7" i="85"/>
  <c r="D7" i="85"/>
  <c r="N6" i="85"/>
  <c r="L6" i="85"/>
  <c r="J6" i="85"/>
  <c r="H6" i="85"/>
  <c r="F6" i="85"/>
  <c r="D6" i="85"/>
  <c r="N5" i="85"/>
  <c r="L5" i="85"/>
  <c r="J5" i="85"/>
  <c r="H5" i="85"/>
  <c r="F5" i="85"/>
  <c r="D5" i="85"/>
  <c r="T21" i="86" l="1"/>
  <c r="U21" i="86"/>
  <c r="R21" i="86"/>
  <c r="V21" i="86"/>
  <c r="S21" i="86"/>
  <c r="Q21" i="86"/>
  <c r="T20" i="86"/>
  <c r="U20" i="86"/>
  <c r="R20" i="86"/>
  <c r="V20" i="86"/>
  <c r="Q20" i="86"/>
  <c r="S20" i="86"/>
  <c r="X22" i="85"/>
  <c r="U22" i="85"/>
  <c r="T22" i="85"/>
  <c r="W22" i="85"/>
  <c r="V22" i="85"/>
  <c r="S22" i="85"/>
  <c r="Q22" i="85"/>
  <c r="R22" i="85"/>
  <c r="Q21" i="85"/>
  <c r="U21" i="85"/>
  <c r="X21" i="85"/>
  <c r="S21" i="85"/>
  <c r="R21" i="85"/>
  <c r="W21" i="85"/>
  <c r="V21" i="85"/>
  <c r="T21" i="85"/>
  <c r="N12" i="85"/>
  <c r="H12" i="85"/>
  <c r="F12" i="85"/>
  <c r="N11" i="86"/>
  <c r="L11" i="86"/>
  <c r="J11" i="86"/>
  <c r="F11" i="86"/>
  <c r="D11" i="86"/>
  <c r="H11" i="86"/>
  <c r="J12" i="85"/>
  <c r="D12" i="85"/>
  <c r="L12" i="85"/>
  <c r="B1" i="84"/>
  <c r="D5" i="70" l="1"/>
  <c r="F14" i="7" l="1"/>
  <c r="F15" i="7"/>
  <c r="F16" i="7"/>
  <c r="G15" i="3"/>
  <c r="F30" i="2"/>
  <c r="R58" i="2" s="1"/>
  <c r="B1" i="83" l="1"/>
  <c r="B1" i="79"/>
  <c r="K36" i="78"/>
  <c r="K37" i="78"/>
  <c r="K38" i="78"/>
  <c r="K39" i="78"/>
  <c r="K40" i="78"/>
  <c r="K41" i="78"/>
  <c r="K42" i="78"/>
  <c r="K43" i="78"/>
  <c r="K44" i="78"/>
  <c r="K45" i="78"/>
  <c r="K46" i="78"/>
  <c r="J36" i="78"/>
  <c r="J37" i="78"/>
  <c r="J38" i="78"/>
  <c r="J39" i="78"/>
  <c r="J40" i="78"/>
  <c r="J41" i="78"/>
  <c r="J42" i="78"/>
  <c r="J43" i="78"/>
  <c r="J44" i="78"/>
  <c r="J45" i="78"/>
  <c r="J46" i="78"/>
  <c r="J35" i="78"/>
  <c r="I36" i="78"/>
  <c r="I37" i="78"/>
  <c r="I38" i="78"/>
  <c r="I39" i="78"/>
  <c r="I40" i="78"/>
  <c r="I41" i="78"/>
  <c r="I42" i="78"/>
  <c r="I43" i="78"/>
  <c r="I44" i="78"/>
  <c r="I45" i="78"/>
  <c r="I46" i="78"/>
  <c r="I35" i="78"/>
  <c r="H36" i="78"/>
  <c r="H37" i="78"/>
  <c r="H38" i="78"/>
  <c r="H39" i="78"/>
  <c r="H40" i="78"/>
  <c r="H41" i="78"/>
  <c r="H42" i="78"/>
  <c r="H43" i="78"/>
  <c r="H44" i="78"/>
  <c r="H45" i="78"/>
  <c r="H46" i="78"/>
  <c r="H35" i="78"/>
  <c r="F36" i="78"/>
  <c r="F37" i="78"/>
  <c r="F38" i="78"/>
  <c r="F39" i="78"/>
  <c r="F40" i="78"/>
  <c r="F41" i="78"/>
  <c r="F42" i="78"/>
  <c r="F43" i="78"/>
  <c r="F44" i="78"/>
  <c r="F45" i="78"/>
  <c r="F46" i="78"/>
  <c r="D36" i="78"/>
  <c r="D37" i="78"/>
  <c r="D38" i="78"/>
  <c r="D39" i="78"/>
  <c r="D40" i="78"/>
  <c r="D41" i="78"/>
  <c r="D42" i="78"/>
  <c r="D43" i="78"/>
  <c r="D44" i="78"/>
  <c r="D45" i="78"/>
  <c r="D46" i="78"/>
  <c r="D35" i="78"/>
  <c r="G47" i="78"/>
  <c r="E47" i="78"/>
  <c r="C47" i="78"/>
  <c r="K22" i="78"/>
  <c r="K23" i="78"/>
  <c r="K24" i="78"/>
  <c r="K25" i="78"/>
  <c r="K26" i="78"/>
  <c r="K27" i="78"/>
  <c r="K28" i="78"/>
  <c r="K29" i="78"/>
  <c r="K30" i="78"/>
  <c r="K31" i="78"/>
  <c r="K32" i="78"/>
  <c r="J22" i="78"/>
  <c r="J23" i="78"/>
  <c r="J24" i="78"/>
  <c r="J25" i="78"/>
  <c r="J26" i="78"/>
  <c r="J27" i="78"/>
  <c r="J28" i="78"/>
  <c r="J29" i="78"/>
  <c r="J30" i="78"/>
  <c r="J31" i="78"/>
  <c r="J32" i="78"/>
  <c r="J21" i="78"/>
  <c r="I22" i="78"/>
  <c r="I23" i="78"/>
  <c r="I24" i="78"/>
  <c r="I25" i="78"/>
  <c r="I26" i="78"/>
  <c r="I27" i="78"/>
  <c r="I28" i="78"/>
  <c r="I29" i="78"/>
  <c r="I30" i="78"/>
  <c r="I31" i="78"/>
  <c r="I32" i="78"/>
  <c r="I21" i="78"/>
  <c r="H22" i="78"/>
  <c r="H23" i="78"/>
  <c r="H24" i="78"/>
  <c r="H25" i="78"/>
  <c r="H26" i="78"/>
  <c r="H27" i="78"/>
  <c r="H28" i="78"/>
  <c r="H29" i="78"/>
  <c r="H30" i="78"/>
  <c r="H31" i="78"/>
  <c r="H32" i="78"/>
  <c r="H21" i="78"/>
  <c r="F22" i="78"/>
  <c r="F23" i="78"/>
  <c r="F24" i="78"/>
  <c r="F25" i="78"/>
  <c r="F26" i="78"/>
  <c r="F27" i="78"/>
  <c r="F28" i="78"/>
  <c r="F29" i="78"/>
  <c r="F30" i="78"/>
  <c r="F31" i="78"/>
  <c r="F32" i="78"/>
  <c r="F21" i="78"/>
  <c r="D22" i="78"/>
  <c r="D23" i="78"/>
  <c r="D24" i="78"/>
  <c r="D25" i="78"/>
  <c r="D26" i="78"/>
  <c r="D27" i="78"/>
  <c r="D28" i="78"/>
  <c r="D29" i="78"/>
  <c r="D30" i="78"/>
  <c r="D31" i="78"/>
  <c r="D32" i="78"/>
  <c r="D21" i="78"/>
  <c r="G33" i="78"/>
  <c r="E33" i="78"/>
  <c r="C33" i="78"/>
  <c r="K9" i="78"/>
  <c r="K10" i="78"/>
  <c r="K11" i="78"/>
  <c r="K12" i="78"/>
  <c r="K13" i="78"/>
  <c r="K14" i="78"/>
  <c r="K15" i="78"/>
  <c r="K16" i="78"/>
  <c r="K17" i="78"/>
  <c r="K18" i="78"/>
  <c r="I18" i="78"/>
  <c r="I8" i="78"/>
  <c r="I9" i="78"/>
  <c r="I10" i="78"/>
  <c r="I11" i="78"/>
  <c r="I12" i="78"/>
  <c r="I13" i="78"/>
  <c r="I14" i="78"/>
  <c r="I15" i="78"/>
  <c r="I16" i="78"/>
  <c r="I17" i="78"/>
  <c r="I7" i="78"/>
  <c r="K8" i="78"/>
  <c r="J8" i="78"/>
  <c r="J9" i="78"/>
  <c r="J10" i="78"/>
  <c r="J11" i="78"/>
  <c r="J12" i="78"/>
  <c r="J13" i="78"/>
  <c r="J14" i="78"/>
  <c r="J15" i="78"/>
  <c r="J16" i="78"/>
  <c r="J17" i="78"/>
  <c r="J18" i="78"/>
  <c r="J7" i="78"/>
  <c r="H8" i="78"/>
  <c r="H9" i="78"/>
  <c r="H10" i="78"/>
  <c r="H11" i="78"/>
  <c r="H12" i="78"/>
  <c r="H13" i="78"/>
  <c r="H14" i="78"/>
  <c r="H15" i="78"/>
  <c r="H16" i="78"/>
  <c r="H17" i="78"/>
  <c r="H18" i="78"/>
  <c r="H7" i="78"/>
  <c r="E19" i="78"/>
  <c r="G19" i="78"/>
  <c r="D8" i="78"/>
  <c r="D9" i="78"/>
  <c r="D10" i="78"/>
  <c r="D11" i="78"/>
  <c r="D12" i="78"/>
  <c r="D13" i="78"/>
  <c r="D14" i="78"/>
  <c r="D15" i="78"/>
  <c r="D16" i="78"/>
  <c r="D17" i="78"/>
  <c r="D18" i="78"/>
  <c r="D7" i="78"/>
  <c r="C19" i="78"/>
  <c r="F19" i="78"/>
  <c r="B1" i="78"/>
  <c r="M40" i="75"/>
  <c r="K40" i="75"/>
  <c r="I40" i="75"/>
  <c r="G40" i="75"/>
  <c r="E40" i="75"/>
  <c r="D18" i="75"/>
  <c r="N16" i="75"/>
  <c r="D25" i="75"/>
  <c r="D26" i="75"/>
  <c r="D28" i="75"/>
  <c r="D29" i="75"/>
  <c r="F25" i="75"/>
  <c r="F26" i="75"/>
  <c r="F28" i="75"/>
  <c r="F29" i="75"/>
  <c r="H25" i="75"/>
  <c r="H26" i="75"/>
  <c r="H28" i="75"/>
  <c r="H29" i="75"/>
  <c r="N15" i="75"/>
  <c r="N14" i="75"/>
  <c r="N13" i="75"/>
  <c r="N12" i="75"/>
  <c r="L16" i="75"/>
  <c r="L15" i="75"/>
  <c r="L14" i="75"/>
  <c r="L13" i="75"/>
  <c r="L12" i="75"/>
  <c r="J16" i="75"/>
  <c r="J15" i="75"/>
  <c r="J14" i="75"/>
  <c r="J13" i="75"/>
  <c r="J12" i="75"/>
  <c r="H16" i="75"/>
  <c r="H15" i="75"/>
  <c r="H14" i="75"/>
  <c r="H13" i="75"/>
  <c r="H12" i="75"/>
  <c r="F16" i="75"/>
  <c r="F15" i="75"/>
  <c r="F14" i="75"/>
  <c r="F13" i="75"/>
  <c r="F12" i="75"/>
  <c r="D13" i="75"/>
  <c r="D14" i="75"/>
  <c r="D15" i="75"/>
  <c r="D16" i="75"/>
  <c r="D12" i="75"/>
  <c r="N7" i="75"/>
  <c r="N8" i="75"/>
  <c r="N9" i="75"/>
  <c r="N10" i="75"/>
  <c r="N6" i="75"/>
  <c r="L7" i="75"/>
  <c r="L8" i="75"/>
  <c r="L9" i="75"/>
  <c r="L10" i="75"/>
  <c r="L6" i="75"/>
  <c r="J7" i="75"/>
  <c r="J8" i="75"/>
  <c r="J9" i="75"/>
  <c r="J10" i="75"/>
  <c r="J6" i="75"/>
  <c r="H7" i="75"/>
  <c r="H8" i="75"/>
  <c r="H9" i="75"/>
  <c r="H10" i="75"/>
  <c r="H6" i="75"/>
  <c r="F7" i="75"/>
  <c r="F8" i="75"/>
  <c r="F9" i="75"/>
  <c r="F10" i="75"/>
  <c r="F6" i="75"/>
  <c r="D7" i="75"/>
  <c r="D8" i="75"/>
  <c r="D9" i="75"/>
  <c r="D10" i="75"/>
  <c r="D6" i="75"/>
  <c r="C40" i="75"/>
  <c r="D19" i="78" l="1"/>
  <c r="I19" i="78"/>
  <c r="I47" i="78"/>
  <c r="J47" i="78"/>
  <c r="J33" i="78"/>
  <c r="K19" i="78"/>
  <c r="J19" i="78"/>
  <c r="N40" i="75"/>
  <c r="L40" i="75"/>
  <c r="J40" i="75"/>
  <c r="H40" i="75"/>
  <c r="F40" i="75"/>
  <c r="D40" i="75"/>
  <c r="H33" i="78"/>
  <c r="K33" i="78"/>
  <c r="F33" i="78"/>
  <c r="D33" i="78"/>
  <c r="I33" i="78"/>
  <c r="H19" i="78"/>
  <c r="H24" i="75"/>
  <c r="H27" i="75"/>
  <c r="F24" i="75"/>
  <c r="F27" i="75"/>
  <c r="H47" i="78"/>
  <c r="F47" i="78"/>
  <c r="K47" i="78"/>
  <c r="D47" i="78"/>
  <c r="C16" i="77"/>
  <c r="E16" i="77"/>
  <c r="G16" i="77"/>
  <c r="I16" i="77"/>
  <c r="K16" i="77"/>
  <c r="M16" i="77"/>
  <c r="B1" i="77"/>
  <c r="B1" i="76"/>
  <c r="N15" i="77"/>
  <c r="L15" i="77"/>
  <c r="J15" i="77"/>
  <c r="H15" i="77"/>
  <c r="F15" i="77"/>
  <c r="D15" i="77"/>
  <c r="N14" i="77"/>
  <c r="L14" i="77"/>
  <c r="J14" i="77"/>
  <c r="H14" i="77"/>
  <c r="F14" i="77"/>
  <c r="D14" i="77"/>
  <c r="N13" i="77"/>
  <c r="L13" i="77"/>
  <c r="J13" i="77"/>
  <c r="H13" i="77"/>
  <c r="F13" i="77"/>
  <c r="D13" i="77"/>
  <c r="N12" i="77"/>
  <c r="L12" i="77"/>
  <c r="J12" i="77"/>
  <c r="H12" i="77"/>
  <c r="F12" i="77"/>
  <c r="D12" i="77"/>
  <c r="N11" i="77"/>
  <c r="L11" i="77"/>
  <c r="J11" i="77"/>
  <c r="H11" i="77"/>
  <c r="F11" i="77"/>
  <c r="D11" i="77"/>
  <c r="N10" i="77"/>
  <c r="L10" i="77"/>
  <c r="J10" i="77"/>
  <c r="H10" i="77"/>
  <c r="F10" i="77"/>
  <c r="D10" i="77"/>
  <c r="N9" i="77"/>
  <c r="L9" i="77"/>
  <c r="J9" i="77"/>
  <c r="H9" i="77"/>
  <c r="F9" i="77"/>
  <c r="D9" i="77"/>
  <c r="N8" i="77"/>
  <c r="L8" i="77"/>
  <c r="J8" i="77"/>
  <c r="H8" i="77"/>
  <c r="F8" i="77"/>
  <c r="D8" i="77"/>
  <c r="N7" i="77"/>
  <c r="L7" i="77"/>
  <c r="J7" i="77"/>
  <c r="H7" i="77"/>
  <c r="F7" i="77"/>
  <c r="D7" i="77"/>
  <c r="N6" i="77"/>
  <c r="L6" i="77"/>
  <c r="J6" i="77"/>
  <c r="H6" i="77"/>
  <c r="F6" i="77"/>
  <c r="D6" i="77"/>
  <c r="N5" i="77"/>
  <c r="L5" i="77"/>
  <c r="J5" i="77"/>
  <c r="H5" i="77"/>
  <c r="F5" i="77"/>
  <c r="D5" i="77"/>
  <c r="M17" i="76"/>
  <c r="K17" i="76"/>
  <c r="I17" i="76"/>
  <c r="G17" i="76"/>
  <c r="E17" i="76"/>
  <c r="C17" i="76"/>
  <c r="N16" i="76"/>
  <c r="L16" i="76"/>
  <c r="J16" i="76"/>
  <c r="H16" i="76"/>
  <c r="F16" i="76"/>
  <c r="D16" i="76"/>
  <c r="N15" i="76"/>
  <c r="L15" i="76"/>
  <c r="J15" i="76"/>
  <c r="H15" i="76"/>
  <c r="F15" i="76"/>
  <c r="D15" i="76"/>
  <c r="N14" i="76"/>
  <c r="L14" i="76"/>
  <c r="J14" i="76"/>
  <c r="H14" i="76"/>
  <c r="F14" i="76"/>
  <c r="D14" i="76"/>
  <c r="N13" i="76"/>
  <c r="L13" i="76"/>
  <c r="J13" i="76"/>
  <c r="H13" i="76"/>
  <c r="F13" i="76"/>
  <c r="D13" i="76"/>
  <c r="N12" i="76"/>
  <c r="L12" i="76"/>
  <c r="J12" i="76"/>
  <c r="H12" i="76"/>
  <c r="F12" i="76"/>
  <c r="D12" i="76"/>
  <c r="N11" i="76"/>
  <c r="L11" i="76"/>
  <c r="J11" i="76"/>
  <c r="H11" i="76"/>
  <c r="F11" i="76"/>
  <c r="D11" i="76"/>
  <c r="N10" i="76"/>
  <c r="L10" i="76"/>
  <c r="J10" i="76"/>
  <c r="H10" i="76"/>
  <c r="F10" i="76"/>
  <c r="D10" i="76"/>
  <c r="N9" i="76"/>
  <c r="L9" i="76"/>
  <c r="J9" i="76"/>
  <c r="H9" i="76"/>
  <c r="F9" i="76"/>
  <c r="D9" i="76"/>
  <c r="N8" i="76"/>
  <c r="L8" i="76"/>
  <c r="J8" i="76"/>
  <c r="H8" i="76"/>
  <c r="F8" i="76"/>
  <c r="D8" i="76"/>
  <c r="N7" i="76"/>
  <c r="L7" i="76"/>
  <c r="J7" i="76"/>
  <c r="H7" i="76"/>
  <c r="F7" i="76"/>
  <c r="D7" i="76"/>
  <c r="N6" i="76"/>
  <c r="L6" i="76"/>
  <c r="J6" i="76"/>
  <c r="H6" i="76"/>
  <c r="F6" i="76"/>
  <c r="D6" i="76"/>
  <c r="D5" i="76"/>
  <c r="E35" i="75"/>
  <c r="G35" i="75"/>
  <c r="I35" i="75"/>
  <c r="K35" i="75"/>
  <c r="M35" i="75"/>
  <c r="C35" i="75"/>
  <c r="E32" i="75"/>
  <c r="G32" i="75"/>
  <c r="I32" i="75"/>
  <c r="K32" i="75"/>
  <c r="L34" i="75" s="1"/>
  <c r="M32" i="75"/>
  <c r="N34" i="75" s="1"/>
  <c r="C32" i="75"/>
  <c r="N29" i="75"/>
  <c r="N28" i="75"/>
  <c r="N26" i="75"/>
  <c r="N25" i="75"/>
  <c r="L29" i="75"/>
  <c r="L28" i="75"/>
  <c r="L26" i="75"/>
  <c r="L25" i="75"/>
  <c r="J29" i="75"/>
  <c r="J28" i="75"/>
  <c r="J27" i="75" s="1"/>
  <c r="J26" i="75"/>
  <c r="J25" i="75"/>
  <c r="M27" i="75"/>
  <c r="K27" i="75"/>
  <c r="I27" i="75"/>
  <c r="G27" i="75"/>
  <c r="E27" i="75"/>
  <c r="C27" i="75"/>
  <c r="E24" i="75"/>
  <c r="G24" i="75"/>
  <c r="I24" i="75"/>
  <c r="K24" i="75"/>
  <c r="M24" i="75"/>
  <c r="C24" i="75"/>
  <c r="N19" i="75"/>
  <c r="N20" i="75"/>
  <c r="N21" i="75"/>
  <c r="N22" i="75"/>
  <c r="N18" i="75"/>
  <c r="L19" i="75"/>
  <c r="L20" i="75"/>
  <c r="L21" i="75"/>
  <c r="L22" i="75"/>
  <c r="L18" i="75"/>
  <c r="J19" i="75"/>
  <c r="J20" i="75"/>
  <c r="J21" i="75"/>
  <c r="J22" i="75"/>
  <c r="J18" i="75"/>
  <c r="H19" i="75"/>
  <c r="H20" i="75"/>
  <c r="H21" i="75"/>
  <c r="H22" i="75"/>
  <c r="H18" i="75"/>
  <c r="F19" i="75"/>
  <c r="F20" i="75"/>
  <c r="F21" i="75"/>
  <c r="F22" i="75"/>
  <c r="F18" i="75"/>
  <c r="D19" i="75"/>
  <c r="D20" i="75"/>
  <c r="D21" i="75"/>
  <c r="D22" i="75"/>
  <c r="B1" i="75"/>
  <c r="H34" i="75" l="1"/>
  <c r="L24" i="75"/>
  <c r="F33" i="75"/>
  <c r="N27" i="75"/>
  <c r="D38" i="75"/>
  <c r="J16" i="77"/>
  <c r="D34" i="75"/>
  <c r="L27" i="75"/>
  <c r="J36" i="75"/>
  <c r="H31" i="75"/>
  <c r="H37" i="75"/>
  <c r="L37" i="75"/>
  <c r="L31" i="75"/>
  <c r="L36" i="75"/>
  <c r="H36" i="75"/>
  <c r="H35" i="75" s="1"/>
  <c r="D33" i="75"/>
  <c r="N36" i="75"/>
  <c r="N37" i="75"/>
  <c r="N33" i="75"/>
  <c r="N32" i="75" s="1"/>
  <c r="N38" i="75"/>
  <c r="N31" i="75"/>
  <c r="L33" i="75"/>
  <c r="L32" i="75" s="1"/>
  <c r="L38" i="75"/>
  <c r="J38" i="75"/>
  <c r="J34" i="75"/>
  <c r="J31" i="75"/>
  <c r="J37" i="75"/>
  <c r="J35" i="75" s="1"/>
  <c r="J33" i="75"/>
  <c r="H33" i="75"/>
  <c r="H32" i="75" s="1"/>
  <c r="H38" i="75"/>
  <c r="F36" i="75"/>
  <c r="F38" i="75"/>
  <c r="F37" i="75"/>
  <c r="F31" i="75"/>
  <c r="F34" i="75"/>
  <c r="F32" i="75" s="1"/>
  <c r="D36" i="75"/>
  <c r="D31" i="75"/>
  <c r="D37" i="75"/>
  <c r="J24" i="75"/>
  <c r="N24" i="75"/>
  <c r="D27" i="75"/>
  <c r="D24" i="75"/>
  <c r="N17" i="76"/>
  <c r="L17" i="76"/>
  <c r="J17" i="76"/>
  <c r="H17" i="76"/>
  <c r="F17" i="76"/>
  <c r="D17" i="76"/>
  <c r="N16" i="77"/>
  <c r="L16" i="77"/>
  <c r="H16" i="77"/>
  <c r="F16" i="77"/>
  <c r="D16" i="77"/>
  <c r="B1" i="4"/>
  <c r="B1" i="74"/>
  <c r="D15" i="74"/>
  <c r="F15" i="74"/>
  <c r="H15" i="74"/>
  <c r="J15" i="74"/>
  <c r="L15" i="74"/>
  <c r="N15" i="74"/>
  <c r="M16" i="74"/>
  <c r="K16" i="74"/>
  <c r="I16" i="74"/>
  <c r="G16" i="74"/>
  <c r="E16" i="74"/>
  <c r="C16" i="74"/>
  <c r="N14" i="74"/>
  <c r="L14" i="74"/>
  <c r="J14" i="74"/>
  <c r="H14" i="74"/>
  <c r="F14" i="74"/>
  <c r="D14" i="74"/>
  <c r="N13" i="74"/>
  <c r="L13" i="74"/>
  <c r="J13" i="74"/>
  <c r="H13" i="74"/>
  <c r="F13" i="74"/>
  <c r="D13" i="74"/>
  <c r="N12" i="74"/>
  <c r="L12" i="74"/>
  <c r="J12" i="74"/>
  <c r="H12" i="74"/>
  <c r="F12" i="74"/>
  <c r="D12" i="74"/>
  <c r="N11" i="74"/>
  <c r="L11" i="74"/>
  <c r="J11" i="74"/>
  <c r="H11" i="74"/>
  <c r="F11" i="74"/>
  <c r="D11" i="74"/>
  <c r="N10" i="74"/>
  <c r="L10" i="74"/>
  <c r="J10" i="74"/>
  <c r="H10" i="74"/>
  <c r="F10" i="74"/>
  <c r="D10" i="74"/>
  <c r="N9" i="74"/>
  <c r="L9" i="74"/>
  <c r="J9" i="74"/>
  <c r="H9" i="74"/>
  <c r="F9" i="74"/>
  <c r="D9" i="74"/>
  <c r="N8" i="74"/>
  <c r="L8" i="74"/>
  <c r="J8" i="74"/>
  <c r="H8" i="74"/>
  <c r="F8" i="74"/>
  <c r="D8" i="74"/>
  <c r="N7" i="74"/>
  <c r="L7" i="74"/>
  <c r="J7" i="74"/>
  <c r="H7" i="74"/>
  <c r="F7" i="74"/>
  <c r="D7" i="74"/>
  <c r="N6" i="74"/>
  <c r="L6" i="74"/>
  <c r="J6" i="74"/>
  <c r="H6" i="74"/>
  <c r="F6" i="74"/>
  <c r="D6" i="74"/>
  <c r="N5" i="74"/>
  <c r="L5" i="74"/>
  <c r="J5" i="74"/>
  <c r="H5" i="74"/>
  <c r="F5" i="74"/>
  <c r="D5" i="74"/>
  <c r="N6" i="73"/>
  <c r="N7" i="73"/>
  <c r="N8" i="73"/>
  <c r="N9" i="73"/>
  <c r="N10" i="73"/>
  <c r="N11" i="73"/>
  <c r="N12" i="73"/>
  <c r="N13" i="73"/>
  <c r="N14" i="73"/>
  <c r="N15" i="73"/>
  <c r="N16" i="73"/>
  <c r="N5" i="73"/>
  <c r="L6" i="73"/>
  <c r="L7" i="73"/>
  <c r="L8" i="73"/>
  <c r="L9" i="73"/>
  <c r="L10" i="73"/>
  <c r="L11" i="73"/>
  <c r="L12" i="73"/>
  <c r="L13" i="73"/>
  <c r="L14" i="73"/>
  <c r="L15" i="73"/>
  <c r="L16" i="73"/>
  <c r="L5" i="73"/>
  <c r="J6" i="73"/>
  <c r="J7" i="73"/>
  <c r="J8" i="73"/>
  <c r="J9" i="73"/>
  <c r="J10" i="73"/>
  <c r="J11" i="73"/>
  <c r="J12" i="73"/>
  <c r="J13" i="73"/>
  <c r="J14" i="73"/>
  <c r="J15" i="73"/>
  <c r="J16" i="73"/>
  <c r="J5" i="73"/>
  <c r="H6" i="73"/>
  <c r="H7" i="73"/>
  <c r="H8" i="73"/>
  <c r="H9" i="73"/>
  <c r="H10" i="73"/>
  <c r="H11" i="73"/>
  <c r="H12" i="73"/>
  <c r="H13" i="73"/>
  <c r="H14" i="73"/>
  <c r="H15" i="73"/>
  <c r="H16" i="73"/>
  <c r="H5" i="73"/>
  <c r="F6" i="73"/>
  <c r="F7" i="73"/>
  <c r="F8" i="73"/>
  <c r="F9" i="73"/>
  <c r="F10" i="73"/>
  <c r="F11" i="73"/>
  <c r="F12" i="73"/>
  <c r="F13" i="73"/>
  <c r="F14" i="73"/>
  <c r="F15" i="73"/>
  <c r="F16" i="73"/>
  <c r="F5" i="73"/>
  <c r="D6" i="73"/>
  <c r="D7" i="73"/>
  <c r="D8" i="73"/>
  <c r="D9" i="73"/>
  <c r="D10" i="73"/>
  <c r="D11" i="73"/>
  <c r="D12" i="73"/>
  <c r="D13" i="73"/>
  <c r="D14" i="73"/>
  <c r="D15" i="73"/>
  <c r="D16" i="73"/>
  <c r="D5" i="73"/>
  <c r="M17" i="73"/>
  <c r="B1" i="73"/>
  <c r="K17" i="73"/>
  <c r="I17" i="73"/>
  <c r="G17" i="73"/>
  <c r="E17" i="73"/>
  <c r="C17" i="73"/>
  <c r="B1" i="72"/>
  <c r="B1" i="71"/>
  <c r="B1" i="70"/>
  <c r="K16" i="71"/>
  <c r="I16" i="71"/>
  <c r="G16" i="71"/>
  <c r="E16" i="71"/>
  <c r="C16" i="71"/>
  <c r="L15" i="71"/>
  <c r="J15" i="71"/>
  <c r="H15" i="71"/>
  <c r="F15" i="71"/>
  <c r="D15" i="71"/>
  <c r="L14" i="71"/>
  <c r="J14" i="71"/>
  <c r="H14" i="71"/>
  <c r="F14" i="71"/>
  <c r="D14" i="71"/>
  <c r="L13" i="71"/>
  <c r="J13" i="71"/>
  <c r="H13" i="71"/>
  <c r="F13" i="71"/>
  <c r="D13" i="71"/>
  <c r="L12" i="71"/>
  <c r="J12" i="71"/>
  <c r="H12" i="71"/>
  <c r="F12" i="71"/>
  <c r="D12" i="71"/>
  <c r="L11" i="71"/>
  <c r="J11" i="71"/>
  <c r="H11" i="71"/>
  <c r="F11" i="71"/>
  <c r="D11" i="71"/>
  <c r="L10" i="71"/>
  <c r="J10" i="71"/>
  <c r="H10" i="71"/>
  <c r="F10" i="71"/>
  <c r="D10" i="71"/>
  <c r="L9" i="71"/>
  <c r="J9" i="71"/>
  <c r="H9" i="71"/>
  <c r="F9" i="71"/>
  <c r="D9" i="71"/>
  <c r="L8" i="71"/>
  <c r="J8" i="71"/>
  <c r="H8" i="71"/>
  <c r="F8" i="71"/>
  <c r="D8" i="71"/>
  <c r="L7" i="71"/>
  <c r="J7" i="71"/>
  <c r="H7" i="71"/>
  <c r="F7" i="71"/>
  <c r="D7" i="71"/>
  <c r="L6" i="71"/>
  <c r="J6" i="71"/>
  <c r="H6" i="71"/>
  <c r="F6" i="71"/>
  <c r="D6" i="71"/>
  <c r="L5" i="71"/>
  <c r="J5" i="71"/>
  <c r="H5" i="71"/>
  <c r="F5" i="71"/>
  <c r="D5" i="71"/>
  <c r="K17" i="70"/>
  <c r="I17" i="70"/>
  <c r="G17" i="70"/>
  <c r="E17" i="70"/>
  <c r="C17" i="70"/>
  <c r="L16" i="70"/>
  <c r="J16" i="70"/>
  <c r="H16" i="70"/>
  <c r="F16" i="70"/>
  <c r="D16" i="70"/>
  <c r="L15" i="70"/>
  <c r="J15" i="70"/>
  <c r="H15" i="70"/>
  <c r="F15" i="70"/>
  <c r="D15" i="70"/>
  <c r="L14" i="70"/>
  <c r="J14" i="70"/>
  <c r="H14" i="70"/>
  <c r="F14" i="70"/>
  <c r="D14" i="70"/>
  <c r="L13" i="70"/>
  <c r="J13" i="70"/>
  <c r="H13" i="70"/>
  <c r="F13" i="70"/>
  <c r="D13" i="70"/>
  <c r="L12" i="70"/>
  <c r="J12" i="70"/>
  <c r="H12" i="70"/>
  <c r="F12" i="70"/>
  <c r="D12" i="70"/>
  <c r="L11" i="70"/>
  <c r="J11" i="70"/>
  <c r="H11" i="70"/>
  <c r="F11" i="70"/>
  <c r="D11" i="70"/>
  <c r="L10" i="70"/>
  <c r="J10" i="70"/>
  <c r="H10" i="70"/>
  <c r="F10" i="70"/>
  <c r="D10" i="70"/>
  <c r="L9" i="70"/>
  <c r="J9" i="70"/>
  <c r="H9" i="70"/>
  <c r="F9" i="70"/>
  <c r="D9" i="70"/>
  <c r="L8" i="70"/>
  <c r="J8" i="70"/>
  <c r="H8" i="70"/>
  <c r="F8" i="70"/>
  <c r="D8" i="70"/>
  <c r="L7" i="70"/>
  <c r="J7" i="70"/>
  <c r="H7" i="70"/>
  <c r="F7" i="70"/>
  <c r="D7" i="70"/>
  <c r="L6" i="70"/>
  <c r="J6" i="70"/>
  <c r="H6" i="70"/>
  <c r="F6" i="70"/>
  <c r="D6" i="70"/>
  <c r="L5" i="70"/>
  <c r="J5" i="70"/>
  <c r="H5" i="70"/>
  <c r="F5" i="70"/>
  <c r="B1" i="62"/>
  <c r="B1" i="61"/>
  <c r="L16" i="62"/>
  <c r="K16" i="62"/>
  <c r="J16" i="62"/>
  <c r="I16" i="62"/>
  <c r="H16" i="62"/>
  <c r="G16" i="62"/>
  <c r="F16" i="62"/>
  <c r="E16" i="62"/>
  <c r="D16" i="62"/>
  <c r="C16" i="62"/>
  <c r="L17" i="61"/>
  <c r="K17" i="61"/>
  <c r="J17" i="61"/>
  <c r="I17" i="61"/>
  <c r="H17" i="61"/>
  <c r="G17" i="61"/>
  <c r="F17" i="61"/>
  <c r="E17" i="61"/>
  <c r="D17" i="61"/>
  <c r="C17" i="61"/>
  <c r="B1" i="60"/>
  <c r="B1" i="59"/>
  <c r="L16" i="60"/>
  <c r="K16" i="60"/>
  <c r="J16" i="60"/>
  <c r="I16" i="60"/>
  <c r="H16" i="60"/>
  <c r="G16" i="60"/>
  <c r="F16" i="60"/>
  <c r="E16" i="60"/>
  <c r="D16" i="60"/>
  <c r="C16" i="60"/>
  <c r="L17" i="59"/>
  <c r="K17" i="59"/>
  <c r="J17" i="59"/>
  <c r="I17" i="59"/>
  <c r="H17" i="59"/>
  <c r="G17" i="59"/>
  <c r="F17" i="59"/>
  <c r="E17" i="59"/>
  <c r="D17" i="59"/>
  <c r="C17" i="59"/>
  <c r="B1" i="58"/>
  <c r="L16" i="58"/>
  <c r="K16" i="58"/>
  <c r="J16" i="58"/>
  <c r="I16" i="58"/>
  <c r="H16" i="58"/>
  <c r="G16" i="58"/>
  <c r="F16" i="58"/>
  <c r="E16" i="58"/>
  <c r="D16" i="58"/>
  <c r="C16" i="58"/>
  <c r="B1" i="57"/>
  <c r="K17" i="57"/>
  <c r="I17" i="57"/>
  <c r="G17" i="57"/>
  <c r="E17" i="57"/>
  <c r="C17" i="57"/>
  <c r="F17" i="57"/>
  <c r="L17" i="57"/>
  <c r="J17" i="57"/>
  <c r="H17" i="57"/>
  <c r="D17" i="57"/>
  <c r="B1" i="56"/>
  <c r="B1" i="55"/>
  <c r="B1" i="54"/>
  <c r="B1" i="52"/>
  <c r="H17" i="70" l="1"/>
  <c r="L35" i="75"/>
  <c r="D32" i="75"/>
  <c r="F35" i="75"/>
  <c r="N35" i="75"/>
  <c r="J32" i="75"/>
  <c r="D35" i="75"/>
  <c r="N17" i="73"/>
  <c r="L17" i="73"/>
  <c r="J17" i="73"/>
  <c r="F17" i="73"/>
  <c r="F17" i="70"/>
  <c r="F16" i="74"/>
  <c r="H16" i="74"/>
  <c r="N16" i="74"/>
  <c r="J16" i="74"/>
  <c r="D16" i="74"/>
  <c r="L16" i="74"/>
  <c r="H17" i="73"/>
  <c r="D17" i="73"/>
  <c r="L16" i="71"/>
  <c r="J16" i="71"/>
  <c r="H16" i="71"/>
  <c r="D16" i="71"/>
  <c r="F16" i="71"/>
  <c r="L17" i="70"/>
  <c r="J17" i="70"/>
  <c r="D17" i="70"/>
  <c r="L6" i="6"/>
  <c r="L7" i="6"/>
  <c r="L8" i="6"/>
  <c r="L9" i="6"/>
  <c r="L10" i="6"/>
  <c r="L11" i="6"/>
  <c r="L12" i="6"/>
  <c r="L13" i="6"/>
  <c r="L14" i="6"/>
  <c r="L15" i="6"/>
  <c r="L5" i="6"/>
  <c r="J6" i="6"/>
  <c r="J7" i="6"/>
  <c r="J8" i="6"/>
  <c r="J9" i="6"/>
  <c r="J10" i="6"/>
  <c r="J11" i="6"/>
  <c r="J12" i="6"/>
  <c r="J13" i="6"/>
  <c r="J14" i="6"/>
  <c r="J15" i="6"/>
  <c r="J5" i="6"/>
  <c r="H6" i="6"/>
  <c r="H7" i="6"/>
  <c r="H8" i="6"/>
  <c r="H9" i="6"/>
  <c r="H10" i="6"/>
  <c r="H11" i="6"/>
  <c r="H12" i="6"/>
  <c r="H13" i="6"/>
  <c r="H14" i="6"/>
  <c r="H15" i="6"/>
  <c r="H5" i="6"/>
  <c r="F6" i="6"/>
  <c r="F7" i="6"/>
  <c r="F8" i="6"/>
  <c r="F9" i="6"/>
  <c r="F10" i="6"/>
  <c r="F11" i="6"/>
  <c r="F12" i="6"/>
  <c r="F13" i="6"/>
  <c r="F14" i="6"/>
  <c r="F15" i="6"/>
  <c r="F5" i="6"/>
  <c r="D6" i="6"/>
  <c r="D7" i="6"/>
  <c r="D8" i="6"/>
  <c r="D9" i="6"/>
  <c r="D10" i="6"/>
  <c r="D11" i="6"/>
  <c r="D12" i="6"/>
  <c r="D13" i="6"/>
  <c r="D14" i="6"/>
  <c r="D15" i="6"/>
  <c r="D5" i="6"/>
  <c r="E16" i="6"/>
  <c r="G16" i="6"/>
  <c r="I16" i="6"/>
  <c r="K16" i="6"/>
  <c r="L6" i="7"/>
  <c r="L7" i="7"/>
  <c r="L8" i="7"/>
  <c r="L9" i="7"/>
  <c r="L10" i="7"/>
  <c r="L11" i="7"/>
  <c r="L12" i="7"/>
  <c r="L13" i="7"/>
  <c r="L14" i="7"/>
  <c r="L15" i="7"/>
  <c r="L16" i="7"/>
  <c r="L5" i="7"/>
  <c r="J6" i="7"/>
  <c r="J7" i="7"/>
  <c r="J8" i="7"/>
  <c r="J9" i="7"/>
  <c r="J10" i="7"/>
  <c r="J11" i="7"/>
  <c r="J12" i="7"/>
  <c r="J13" i="7"/>
  <c r="J14" i="7"/>
  <c r="J15" i="7"/>
  <c r="J16" i="7"/>
  <c r="J5" i="7"/>
  <c r="H6" i="7"/>
  <c r="H7" i="7"/>
  <c r="H8" i="7"/>
  <c r="H9" i="7"/>
  <c r="H10" i="7"/>
  <c r="H11" i="7"/>
  <c r="H12" i="7"/>
  <c r="H13" i="7"/>
  <c r="H14" i="7"/>
  <c r="H15" i="7"/>
  <c r="H16" i="7"/>
  <c r="H5" i="7"/>
  <c r="F6" i="7"/>
  <c r="F7" i="7"/>
  <c r="F8" i="7"/>
  <c r="F9" i="7"/>
  <c r="F10" i="7"/>
  <c r="F11" i="7"/>
  <c r="F12" i="7"/>
  <c r="F13" i="7"/>
  <c r="F5" i="7"/>
  <c r="E17" i="7"/>
  <c r="G17" i="7"/>
  <c r="I17" i="7"/>
  <c r="K17" i="7"/>
  <c r="C17" i="7"/>
  <c r="D6" i="7"/>
  <c r="D7" i="7"/>
  <c r="D8" i="7"/>
  <c r="D9" i="7"/>
  <c r="D10" i="7"/>
  <c r="D11" i="7"/>
  <c r="D12" i="7"/>
  <c r="D13" i="7"/>
  <c r="D14" i="7"/>
  <c r="D15" i="7"/>
  <c r="D16" i="7"/>
  <c r="D5" i="7"/>
  <c r="D17" i="7" l="1"/>
  <c r="L16" i="6"/>
  <c r="J16" i="6"/>
  <c r="H16" i="6"/>
  <c r="F16" i="6"/>
  <c r="D16" i="6"/>
  <c r="L17" i="7"/>
  <c r="H17" i="7"/>
  <c r="J17" i="7"/>
  <c r="F17" i="7"/>
  <c r="G13" i="3" l="1"/>
  <c r="G11" i="3"/>
  <c r="G9" i="3"/>
  <c r="G7" i="3"/>
  <c r="G5" i="3"/>
  <c r="B1" i="3" l="1"/>
  <c r="D22" i="2"/>
  <c r="B1" i="37" l="1"/>
  <c r="B1" i="38"/>
  <c r="B1" i="6"/>
  <c r="B1" i="7"/>
  <c r="B1" i="2"/>
</calcChain>
</file>

<file path=xl/sharedStrings.xml><?xml version="1.0" encoding="utf-8"?>
<sst xmlns="http://schemas.openxmlformats.org/spreadsheetml/2006/main" count="1800" uniqueCount="678">
  <si>
    <t>Total</t>
  </si>
  <si>
    <t>absolut</t>
  </si>
  <si>
    <t>in %</t>
  </si>
  <si>
    <t>in 1'000 Fr.</t>
  </si>
  <si>
    <t>Jahr</t>
  </si>
  <si>
    <t>Tabellenverzeichnis</t>
  </si>
  <si>
    <t>www.ag.ch/statistik</t>
  </si>
  <si>
    <t>062 835 13 00, statistik@ag.ch</t>
  </si>
  <si>
    <t>© Statistik Aargau</t>
  </si>
  <si>
    <t>Tabelle</t>
  </si>
  <si>
    <t>Pflichtige</t>
  </si>
  <si>
    <t>0</t>
  </si>
  <si>
    <t>Übrige</t>
  </si>
  <si>
    <t>Insgesamt</t>
  </si>
  <si>
    <t>Erläuterungen und Hinweise</t>
  </si>
  <si>
    <t>Gemeindetabellen</t>
  </si>
  <si>
    <t>1'000–1'999</t>
  </si>
  <si>
    <t>2'000–4'999</t>
  </si>
  <si>
    <t>5'000–9'999</t>
  </si>
  <si>
    <t>10'000–19'999</t>
  </si>
  <si>
    <t>20'000–49'999</t>
  </si>
  <si>
    <t>1:</t>
  </si>
  <si>
    <t>2:</t>
  </si>
  <si>
    <t>3:</t>
  </si>
  <si>
    <t>4:</t>
  </si>
  <si>
    <t>5:</t>
  </si>
  <si>
    <t>Gemeindekarte:</t>
  </si>
  <si>
    <t>Einkommen und Vermögen</t>
  </si>
  <si>
    <t xml:space="preserve">Tabelle </t>
  </si>
  <si>
    <t>Index</t>
  </si>
  <si>
    <t>Reineinkommen</t>
  </si>
  <si>
    <t>steuerbares Einkommen</t>
  </si>
  <si>
    <t>Reinvermögen</t>
  </si>
  <si>
    <t>1. Bei den Steuerpflichtigen handelt es sich um Steuerpflichtige mit Wohnsitz im Kanton Aargau (Primärpflichtige).</t>
  </si>
  <si>
    <t>Steuerbelastung durch die…</t>
  </si>
  <si>
    <r>
      <t>Einkommenssteuer</t>
    </r>
    <r>
      <rPr>
        <vertAlign val="superscript"/>
        <sz val="10"/>
        <rFont val="Arial"/>
        <family val="2"/>
      </rPr>
      <t>1</t>
    </r>
  </si>
  <si>
    <r>
      <t>Vermögenssteuer</t>
    </r>
    <r>
      <rPr>
        <vertAlign val="superscript"/>
        <sz val="10"/>
        <rFont val="Arial"/>
        <family val="2"/>
      </rPr>
      <t>2</t>
    </r>
  </si>
  <si>
    <t>1. Einkommenssteuer (100%) in Prozent des steuerbaren Einkommens im Kanton Aargau.</t>
  </si>
  <si>
    <t>0.1 –         9.9</t>
  </si>
  <si>
    <t>10.0 –       19.9</t>
  </si>
  <si>
    <t>20.0 –       29.9</t>
  </si>
  <si>
    <t>30.0 –       49.9</t>
  </si>
  <si>
    <t>50.0 –       74.9</t>
  </si>
  <si>
    <t>75.0 –       99.9</t>
  </si>
  <si>
    <t>100.0 –     149.9</t>
  </si>
  <si>
    <t>150.0 –     249.9</t>
  </si>
  <si>
    <t>250.0 –     499.9</t>
  </si>
  <si>
    <t>500.0 –     999.9</t>
  </si>
  <si>
    <t xml:space="preserve">   1'000 –</t>
  </si>
  <si>
    <t>1 –       24</t>
  </si>
  <si>
    <t xml:space="preserve">      10'000 –</t>
  </si>
  <si>
    <t>25 –       49</t>
  </si>
  <si>
    <t>50 –       99</t>
  </si>
  <si>
    <t>100 –     249</t>
  </si>
  <si>
    <t>250 –     499</t>
  </si>
  <si>
    <t>500 –     749</t>
  </si>
  <si>
    <t>750 –     999</t>
  </si>
  <si>
    <t>1'000 –  4'999</t>
  </si>
  <si>
    <t>5'000 –  9'999</t>
  </si>
  <si>
    <t>Total Einkünfte 
in 1'000 Franken</t>
  </si>
  <si>
    <t>Reineinkommen
in 1'000 Franken</t>
  </si>
  <si>
    <t>Reinvermögen
in 1'000 Franken</t>
  </si>
  <si>
    <t>Stufen des Reinvermögens 
in 1'000 Franken</t>
  </si>
  <si>
    <t>Ledige</t>
  </si>
  <si>
    <t>Verheiratet</t>
  </si>
  <si>
    <t xml:space="preserve">Verwitwete </t>
  </si>
  <si>
    <t>Geschiedene</t>
  </si>
  <si>
    <t>Verheiratete</t>
  </si>
  <si>
    <t>Getrennt Lebende</t>
  </si>
  <si>
    <t>Unselbstständige Tätigkeit: Pflichtige(r)</t>
  </si>
  <si>
    <t xml:space="preserve">                                        Ehefrau</t>
  </si>
  <si>
    <t>Selbstständige Tätigkeit: Pflichtige(r)</t>
  </si>
  <si>
    <t xml:space="preserve">                                     Ehefrau</t>
  </si>
  <si>
    <t xml:space="preserve">                                                    Ehefrau</t>
  </si>
  <si>
    <t>Liegenschaften (abzgl. Liegenschaftsunterhalt)</t>
  </si>
  <si>
    <t>Weitere Einkünfte</t>
  </si>
  <si>
    <t>Total Einkünfte</t>
  </si>
  <si>
    <t>Anbzüge</t>
  </si>
  <si>
    <t>Berufskosten</t>
  </si>
  <si>
    <t>Schuldzinsen</t>
  </si>
  <si>
    <t>Einkaufsbeiträge Säule 2 und Beiträge Säule 3a</t>
  </si>
  <si>
    <t>Versicherungsprämien und Zinsen</t>
  </si>
  <si>
    <t>Übrige Abzüge (abzgl. Selbstbehalt)</t>
  </si>
  <si>
    <t>Wertschriften und Guthaben</t>
  </si>
  <si>
    <t>Liegenschaften (ohne Geschäftsliegenschaften)</t>
  </si>
  <si>
    <t>Übrige Vermögenswerte</t>
  </si>
  <si>
    <t>Schulden</t>
  </si>
  <si>
    <t>Total Abzüge</t>
  </si>
  <si>
    <t>– 19</t>
  </si>
  <si>
    <t>20 – 34</t>
  </si>
  <si>
    <t>35 – 49</t>
  </si>
  <si>
    <t>50 – 64</t>
  </si>
  <si>
    <t>65 +</t>
  </si>
  <si>
    <t>Erwerbstätige</t>
  </si>
  <si>
    <t>selbstständige</t>
  </si>
  <si>
    <t>ohne Kind</t>
  </si>
  <si>
    <t>mit Kind</t>
  </si>
  <si>
    <t>Ledige, Verwitwete, 
Geschiedene und 
getrennt Lebende</t>
  </si>
  <si>
    <t>Einverdienerpaare</t>
  </si>
  <si>
    <t>Zweiverdienerpaare</t>
  </si>
  <si>
    <t>Stufen des Reineinkommens 
in 1'000 Franken</t>
  </si>
  <si>
    <t>Verwitwete</t>
  </si>
  <si>
    <t>16:</t>
  </si>
  <si>
    <t>18:</t>
  </si>
  <si>
    <t>Selbstständige</t>
  </si>
  <si>
    <t>Unselbstständige</t>
  </si>
  <si>
    <t>Ledige, Verwitwete, Geschiedene und getrennt Lebende</t>
  </si>
  <si>
    <t>65 – 79</t>
  </si>
  <si>
    <t>80 +</t>
  </si>
  <si>
    <t>Steuerbares Einkommen</t>
  </si>
  <si>
    <t>Steuerbares Vermögen</t>
  </si>
  <si>
    <t>Stufen des steuerbaren Vermögens 
in 1'000 Franken</t>
  </si>
  <si>
    <t>1 –    999</t>
  </si>
  <si>
    <t>1'000 –  1'999</t>
  </si>
  <si>
    <t xml:space="preserve"> 2'000 –  4'999</t>
  </si>
  <si>
    <t xml:space="preserve"> 10'000 –19'999</t>
  </si>
  <si>
    <t xml:space="preserve"> 20'000 –49'999</t>
  </si>
  <si>
    <t>50'000 –99'999</t>
  </si>
  <si>
    <t>1–499</t>
  </si>
  <si>
    <t>500–999</t>
  </si>
  <si>
    <t>50'000 –</t>
  </si>
  <si>
    <t>in Mio. Fr.</t>
  </si>
  <si>
    <t>Einkommenssteuer
(100%)</t>
  </si>
  <si>
    <t>Vermögenssteuer
(100%)</t>
  </si>
  <si>
    <t>Kantonssteuer
(100%)</t>
  </si>
  <si>
    <t>Ledig</t>
  </si>
  <si>
    <t>Verwitwet</t>
  </si>
  <si>
    <t>Geschieden</t>
  </si>
  <si>
    <t>nach Zivilstand</t>
  </si>
  <si>
    <t>nach Altersklassen</t>
  </si>
  <si>
    <t>65 Jahre und älter</t>
  </si>
  <si>
    <t>nach Erwerbsart</t>
  </si>
  <si>
    <t>Selbständige</t>
  </si>
  <si>
    <t>Unselbständige</t>
  </si>
  <si>
    <t>nach Familientyp</t>
  </si>
  <si>
    <t>Ohne Kind</t>
  </si>
  <si>
    <t xml:space="preserve"> – Verheiratet</t>
  </si>
  <si>
    <t>Mit Kind</t>
  </si>
  <si>
    <t>nach Verdienerzahl</t>
  </si>
  <si>
    <t xml:space="preserve"> – Ohne Kind</t>
  </si>
  <si>
    <t xml:space="preserve"> – Mit Kind</t>
  </si>
  <si>
    <t>Altersrentner (65+)</t>
  </si>
  <si>
    <t>Total Steuerpflichtige im Kanton Aargau</t>
  </si>
  <si>
    <t>17:</t>
  </si>
  <si>
    <t>Einkommenssteuer</t>
  </si>
  <si>
    <t>Steuerpflichtige im Kanton Aargau mit Tarif A</t>
  </si>
  <si>
    <t>Steuerbelastung
in %</t>
  </si>
  <si>
    <t>Steuerpflichtige im Kanton Aargau mit Tarif B</t>
  </si>
  <si>
    <t>Stufen des
Reineinkommens
in 1'000 Franken</t>
  </si>
  <si>
    <t xml:space="preserve"> 100.0 – 149.9</t>
  </si>
  <si>
    <t xml:space="preserve"> 75.0 –   99.9</t>
  </si>
  <si>
    <t xml:space="preserve"> 50.0 –   74.9</t>
  </si>
  <si>
    <t>30.0 –   49.9</t>
  </si>
  <si>
    <t xml:space="preserve"> 20.0 –   29.9</t>
  </si>
  <si>
    <t>10.0 –   19.9</t>
  </si>
  <si>
    <t>0.1 –     9.9</t>
  </si>
  <si>
    <t xml:space="preserve"> 150.0 – 249.9</t>
  </si>
  <si>
    <t>250.0 – 499.9</t>
  </si>
  <si>
    <t>500.0 – 999.9</t>
  </si>
  <si>
    <t>1–24</t>
  </si>
  <si>
    <t>25–49</t>
  </si>
  <si>
    <t>50–99</t>
  </si>
  <si>
    <t>100–249</t>
  </si>
  <si>
    <t>250–499</t>
  </si>
  <si>
    <t>500–749</t>
  </si>
  <si>
    <t>750–999</t>
  </si>
  <si>
    <t>1'000–4'999</t>
  </si>
  <si>
    <t>10'000–</t>
  </si>
  <si>
    <t>Gemeinde</t>
  </si>
  <si>
    <t>Durchschnitt</t>
  </si>
  <si>
    <t>Total Vermögenswerte</t>
  </si>
  <si>
    <t>Kanton Aargau</t>
  </si>
  <si>
    <t>Bezirk Aarau</t>
  </si>
  <si>
    <t>Biberstein</t>
  </si>
  <si>
    <t>Densbüren</t>
  </si>
  <si>
    <t>Gränichen</t>
  </si>
  <si>
    <t>Hirschthal</t>
  </si>
  <si>
    <t>Küttigen</t>
  </si>
  <si>
    <t>Muhen</t>
  </si>
  <si>
    <t>Oberentfelden</t>
  </si>
  <si>
    <t>Suhr</t>
  </si>
  <si>
    <t>Unterentfelden</t>
  </si>
  <si>
    <t>Bezirk Baden</t>
  </si>
  <si>
    <t>Baden</t>
  </si>
  <si>
    <t>Bellikon</t>
  </si>
  <si>
    <t>Bergdietikon</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</si>
  <si>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</si>
  <si>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</si>
  <si>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</si>
  <si>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</si>
  <si>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</si>
  <si>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</si>
  <si>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</si>
  <si>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</si>
  <si>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</si>
  <si>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</si>
  <si>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</si>
  <si>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</si>
  <si>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</si>
  <si>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</si>
  <si>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</si>
  <si>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Turgi</t>
  </si>
  <si>
    <t>Untersiggenthal</t>
  </si>
  <si>
    <t>Wettingen</t>
  </si>
  <si>
    <t>Wohlenschwil</t>
  </si>
  <si>
    <t>Würenlingen</t>
  </si>
  <si>
    <t>Würenlos</t>
  </si>
  <si>
    <t>Bezirk Bremgarten</t>
  </si>
  <si>
    <t>Berikon</t>
  </si>
  <si>
    <t>Büttikon</t>
  </si>
  <si>
    <t>Dottikon</t>
  </si>
  <si>
    <t>Eggenwil</t>
  </si>
  <si>
    <t>Fischbach-Gösl.</t>
  </si>
  <si>
    <t>Hägglingen</t>
  </si>
  <si>
    <t>Islisberg</t>
  </si>
  <si>
    <t>Jonen</t>
  </si>
  <si>
    <t>Oberlunkhofen</t>
  </si>
  <si>
    <t>Oberwil-Lieli</t>
  </si>
  <si>
    <t>Rudolfstetten-Fr.</t>
  </si>
  <si>
    <t>Sarmenstorf</t>
  </si>
  <si>
    <t>Tägerig</t>
  </si>
  <si>
    <t>Uezwil</t>
  </si>
  <si>
    <t>Unterlunkhofen</t>
  </si>
  <si>
    <t>Villmergen</t>
  </si>
  <si>
    <t>Widen</t>
  </si>
  <si>
    <t>Zufikon</t>
  </si>
  <si>
    <t>Bezirk Brugg</t>
  </si>
  <si>
    <t>Auenstein</t>
  </si>
  <si>
    <t>Birr</t>
  </si>
  <si>
    <t>Birrhard</t>
  </si>
  <si>
    <t>Bözen</t>
  </si>
  <si>
    <t>Brugg</t>
  </si>
  <si>
    <t>Effingen</t>
  </si>
  <si>
    <t>Elfingen</t>
  </si>
  <si>
    <t>Habsburg</t>
  </si>
  <si>
    <t>Lupfig</t>
  </si>
  <si>
    <t>Mandach</t>
  </si>
  <si>
    <t>Mönthal</t>
  </si>
  <si>
    <t>Mülligen</t>
  </si>
  <si>
    <t>Remigen</t>
  </si>
  <si>
    <t>Riniken</t>
  </si>
  <si>
    <t>Rüfenach</t>
  </si>
  <si>
    <t>Scherz</t>
  </si>
  <si>
    <t>Schinznach-Bad</t>
  </si>
  <si>
    <t>Villigen</t>
  </si>
  <si>
    <t>Villnachern</t>
  </si>
  <si>
    <t>Windisch</t>
  </si>
  <si>
    <t>Bezirk Kulm</t>
  </si>
  <si>
    <t>Beinwil am See</t>
  </si>
  <si>
    <t>Birrwil</t>
  </si>
  <si>
    <t>Dürrenäsch</t>
  </si>
  <si>
    <t>Gontenschwil</t>
  </si>
  <si>
    <t>Holziken</t>
  </si>
  <si>
    <t>Leutwil</t>
  </si>
  <si>
    <t>Menziken</t>
  </si>
  <si>
    <t>Oberkulm</t>
  </si>
  <si>
    <t>Schlossrued</t>
  </si>
  <si>
    <t>Schmiedrued</t>
  </si>
  <si>
    <t>Schöftland</t>
  </si>
  <si>
    <t>Unterkulm</t>
  </si>
  <si>
    <t>Zetzwil</t>
  </si>
  <si>
    <t>Bezirk Laufenburg</t>
  </si>
  <si>
    <t>Eiken</t>
  </si>
  <si>
    <t>Frick</t>
  </si>
  <si>
    <t>Gansingen</t>
  </si>
  <si>
    <t>Gipf-Oberfrick</t>
  </si>
  <si>
    <t>Herznach</t>
  </si>
  <si>
    <t>Hornussen</t>
  </si>
  <si>
    <t>Kaisten</t>
  </si>
  <si>
    <t>Laufenburg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</si>
  <si>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</si>
  <si>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</si>
  <si>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</si>
  <si>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</si>
  <si>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</si>
  <si>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</si>
  <si>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</si>
  <si>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</si>
  <si>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</si>
  <si>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</si>
  <si>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</si>
  <si>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</si>
  <si>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</si>
  <si>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</si>
  <si>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</si>
  <si>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</si>
  <si>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</si>
  <si>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</si>
  <si>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</si>
  <si>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</si>
  <si>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</si>
  <si>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</si>
  <si>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</si>
  <si>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</si>
  <si>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</si>
  <si>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</si>
  <si>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</si>
  <si>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</si>
  <si>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</si>
  <si>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</si>
  <si>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</si>
  <si>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</si>
  <si>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</si>
  <si>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</si>
  <si>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</si>
  <si>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</si>
  <si>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</si>
  <si>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</si>
  <si>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</si>
  <si>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</si>
  <si>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</si>
  <si>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</si>
  <si>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</si>
  <si>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Oberrüti</t>
  </si>
  <si>
    <t>Rottenschwil</t>
  </si>
  <si>
    <t>Sins</t>
  </si>
  <si>
    <t>Waltenschwil</t>
  </si>
  <si>
    <t>Bezirk Rheinfelden</t>
  </si>
  <si>
    <t>Hellikon</t>
  </si>
  <si>
    <t>Kaiseraugst</t>
  </si>
  <si>
    <t>Magden</t>
  </si>
  <si>
    <t>Möhlin</t>
  </si>
  <si>
    <t>Mumpf</t>
  </si>
  <si>
    <t>Obermumpf</t>
  </si>
  <si>
    <t>Olsberg</t>
  </si>
  <si>
    <t>Rheinfelden</t>
  </si>
  <si>
    <t>Schupfart</t>
  </si>
  <si>
    <t>Wallbach</t>
  </si>
  <si>
    <t>Wegenstetten</t>
  </si>
  <si>
    <t>Zeiningen</t>
  </si>
  <si>
    <t>Zuzgen</t>
  </si>
  <si>
    <t>Bezirk Zofingen</t>
  </si>
  <si>
    <t>Aarburg</t>
  </si>
  <si>
    <t>Attelwil</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</si>
  <si>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</si>
  <si>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</si>
  <si>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</si>
  <si>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</si>
  <si>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</si>
  <si>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</si>
  <si>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</si>
  <si>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</si>
  <si>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</si>
  <si>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</si>
  <si>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</si>
  <si>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</si>
  <si>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</si>
  <si>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</si>
  <si>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</si>
  <si>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</si>
  <si>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</si>
  <si>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Bad Zurzach</t>
  </si>
  <si>
    <t>Baldingen</t>
  </si>
  <si>
    <t>Böbikon</t>
  </si>
  <si>
    <t>Böttstein</t>
  </si>
  <si>
    <t>Döttingen</t>
  </si>
  <si>
    <t>Endingen</t>
  </si>
  <si>
    <t>Fisibach</t>
  </si>
  <si>
    <t>Full-Reuenthal</t>
  </si>
  <si>
    <t>Kaiserstuhl</t>
  </si>
  <si>
    <t>Klingnau</t>
  </si>
  <si>
    <t>Koblenz</t>
  </si>
  <si>
    <t>Leibstadt</t>
  </si>
  <si>
    <t>Leuggern</t>
  </si>
  <si>
    <t>Mellikon</t>
  </si>
  <si>
    <t>Rietheim</t>
  </si>
  <si>
    <t>Rümikon</t>
  </si>
  <si>
    <t>Schneisingen</t>
  </si>
  <si>
    <t>Siglistorf</t>
  </si>
  <si>
    <t>Tegerfelden</t>
  </si>
  <si>
    <t>Wislikofen</t>
  </si>
  <si>
    <t>6:</t>
  </si>
  <si>
    <t>7:</t>
  </si>
  <si>
    <t>8:</t>
  </si>
  <si>
    <t>9:</t>
  </si>
  <si>
    <t>10:</t>
  </si>
  <si>
    <t>19:</t>
  </si>
  <si>
    <t>20:</t>
  </si>
  <si>
    <t>24:</t>
  </si>
  <si>
    <t>25:</t>
  </si>
  <si>
    <t>Gegenstand der Steuerstatistik</t>
  </si>
  <si>
    <t>Datenbasis</t>
  </si>
  <si>
    <t>Sachliche Abgrenzungen: Die Steuerstatistik der natürlichen Personen erfasst die besteuerten natürlichen Personen. Nicht enthalten sind die quellenbesteuerten Ausländer, die Kapitalgesellschaften und Genossenschaften, die mit einer Jahressteuer separat erfassten Einkünfte (z.B. Vorsorge) sowie die Grundstückgewinn- und Erbschaftssteuern.</t>
  </si>
  <si>
    <t>Über die Kapitalgesellschaften, Genossenschaften, Stiftungen und Vereine ist ebenfalls für das Jahr 2011 eine Publikation (Steuerstatistik 2011 – Juristische Personen, stat.kurzinfo Nr. 9) erschienen.</t>
  </si>
  <si>
    <t>a) Einkünfte</t>
  </si>
  <si>
    <t>- Einkünfte aus Wertschriften und Kapitalanlagen</t>
  </si>
  <si>
    <t>- Einkünfte aus Liegenschaften inkl. Nutzniessung und Wohnrecht</t>
  </si>
  <si>
    <t>- Weitere Einkünfte und Gewinne (wie Unterhaltsbeiträge, Erträge aus unverteilten Erbschaften oder Geschäftsanteilen Dritter, Kapitalabfindungen für wiederkehrende Leistungen etc.)</t>
  </si>
  <si>
    <t>b) Abzüge</t>
  </si>
  <si>
    <t>- Schuldzinsen</t>
  </si>
  <si>
    <t>- Einkaufsbeiträge Säule 2 und Beiträge Säule 3a (Einzelperson / Ehemann und Ehefrau)</t>
  </si>
  <si>
    <t>- Versicherungsprämien und Zinsen von Sparkapitalien</t>
  </si>
  <si>
    <t>- Weitere Abzüge (wie persönliche Beiträge nicht erwerbstätiger Personen an die AHV / IV / EO, Zuwendungen an steuerbefreite politische Parteien, freiwillige Zuwendungen, Vermögensverwaltungskosten, Sonderabzug für zweitverdienenden Ehegatten, Krankheits-, Unfall- oder Invaliditätskosten etc.)</t>
  </si>
  <si>
    <t>- Steuerfreibeträge (Kinderabzug, Unterstützungsabzug für unterstützte Personen, Invalidenabzug und Betreuungsabzug)</t>
  </si>
  <si>
    <t>- Zusätzlicher Sozialabzug für tiefe Einkommen (Kleinverdienerabzug)</t>
  </si>
  <si>
    <t>c) Einkommen</t>
  </si>
  <si>
    <t>Verfügbare Informationen</t>
  </si>
  <si>
    <t>In der Analyse wurden folgende Informationen für die Auswertungen verwendet:</t>
  </si>
  <si>
    <t>- Total Einkünfte</t>
  </si>
  <si>
    <t>- Reineinkommen insgesamt</t>
  </si>
  <si>
    <t>- Steuerbares Einkommen insgesamt</t>
  </si>
  <si>
    <t>- Satzbestimmendes Einkommen</t>
  </si>
  <si>
    <t>- Steuerbares Einkommen Kanton Aargau</t>
  </si>
  <si>
    <t>d) Vermögenswerte</t>
  </si>
  <si>
    <t>- Wertschriften und Guthaben</t>
  </si>
  <si>
    <t>- Lebens- und Rentenversicherungen</t>
  </si>
  <si>
    <t>- Liegenschaften</t>
  </si>
  <si>
    <t>- Betriebsvermögen selbständig Erwerbender</t>
  </si>
  <si>
    <t>- Übrige Vermögenswerte (wie Bargeld, Gold und andere Edelmetalle, Guthaben Verrechnungssteuer, Anteile an unverteilten Erbschaften, Private Fahrzeuge etc.)</t>
  </si>
  <si>
    <t>e) Schulden</t>
  </si>
  <si>
    <t>- Steuerfreibetrag</t>
  </si>
  <si>
    <t>- Abzug für Kinder</t>
  </si>
  <si>
    <t>f) Steuerfreie Beträge</t>
  </si>
  <si>
    <t>g) Vermögen</t>
  </si>
  <si>
    <t>- Total Vermögenswerte</t>
  </si>
  <si>
    <t>- Reinvermögen insgesamt</t>
  </si>
  <si>
    <t>- Steuerbares Vermögen insgesamt</t>
  </si>
  <si>
    <t>- Satzbestimmendes Vermögen</t>
  </si>
  <si>
    <t>- Steuerbares Vermögen Kanton Aargau</t>
  </si>
  <si>
    <t xml:space="preserve">                                                     Ehefrau</t>
  </si>
  <si>
    <r>
      <t>Pflichtige</t>
    </r>
    <r>
      <rPr>
        <vertAlign val="superscript"/>
        <sz val="10"/>
        <rFont val="Arial"/>
        <family val="2"/>
      </rPr>
      <t>1</t>
    </r>
  </si>
  <si>
    <r>
      <t>Anzahl Pflichtige</t>
    </r>
    <r>
      <rPr>
        <vertAlign val="superscript"/>
        <sz val="10"/>
        <rFont val="Arial"/>
        <family val="2"/>
      </rPr>
      <t>1</t>
    </r>
  </si>
  <si>
    <r>
      <t>Total der Vermögenswerte</t>
    </r>
    <r>
      <rPr>
        <b/>
        <vertAlign val="superscript"/>
        <sz val="10"/>
        <rFont val="Arial"/>
        <family val="2"/>
      </rPr>
      <t>2</t>
    </r>
  </si>
  <si>
    <r>
      <t>Reineinkommen</t>
    </r>
    <r>
      <rPr>
        <b/>
        <vertAlign val="superscript"/>
        <sz val="10"/>
        <rFont val="Arial"/>
        <family val="2"/>
      </rPr>
      <t>2</t>
    </r>
  </si>
  <si>
    <r>
      <t>Total Einkünfte</t>
    </r>
    <r>
      <rPr>
        <b/>
        <vertAlign val="superscript"/>
        <sz val="10"/>
        <rFont val="Arial"/>
        <family val="2"/>
      </rPr>
      <t>2</t>
    </r>
  </si>
  <si>
    <t>1. Bei den Steuerpflichtigen handelt es sich um Primär- und Sekundärpflichtige.</t>
  </si>
  <si>
    <r>
      <t>Reinvermögen</t>
    </r>
    <r>
      <rPr>
        <b/>
        <vertAlign val="superscript"/>
        <sz val="10"/>
        <rFont val="Arial"/>
        <family val="2"/>
      </rPr>
      <t>2</t>
    </r>
  </si>
  <si>
    <r>
      <t>Total Einkünfte</t>
    </r>
    <r>
      <rPr>
        <b/>
        <vertAlign val="superscript"/>
        <sz val="10"/>
        <rFont val="Arial"/>
        <family val="2"/>
      </rPr>
      <t>4</t>
    </r>
  </si>
  <si>
    <r>
      <t>Reineinkommen</t>
    </r>
    <r>
      <rPr>
        <b/>
        <vertAlign val="superscript"/>
        <sz val="10"/>
        <rFont val="Arial"/>
        <family val="2"/>
      </rPr>
      <t>4</t>
    </r>
  </si>
  <si>
    <r>
      <t>Total der Vermögenswerte</t>
    </r>
    <r>
      <rPr>
        <b/>
        <vertAlign val="superscript"/>
        <sz val="10"/>
        <rFont val="Arial"/>
        <family val="2"/>
      </rPr>
      <t>4</t>
    </r>
  </si>
  <si>
    <r>
      <t>Reinvermögen</t>
    </r>
    <r>
      <rPr>
        <b/>
        <vertAlign val="superscript"/>
        <sz val="10"/>
        <rFont val="Arial"/>
        <family val="2"/>
      </rPr>
      <t>4</t>
    </r>
  </si>
  <si>
    <t>1. Bei den Steuerpflichtigen handelt es sich um Steuerpflichtige unter 65 Jahren mit Wohnsitz im Kanton Aargau (Primärpflichtige).</t>
  </si>
  <si>
    <t>1. Bei den Steuerpflichtigen handelt es sich um Steuerpflichtige (65 Jahre und älter) mit Wohnsitz im Kanton Aargau (Primärpflichtige).</t>
  </si>
  <si>
    <t>1. Bei den Steuerpflichtigen handelt es sich um Primär- und Sekundärpflichtige (65 Jahre und älter).</t>
  </si>
  <si>
    <t>Steuerpflichtige im Kanton Aargau insgesamt</t>
  </si>
  <si>
    <t>Mettauertal</t>
  </si>
  <si>
    <t>28:</t>
  </si>
  <si>
    <t>Vermögenssteuer</t>
  </si>
  <si>
    <t>Total Steuer</t>
  </si>
  <si>
    <t>22a:</t>
  </si>
  <si>
    <t>22b:</t>
  </si>
  <si>
    <t>Altersklassen</t>
  </si>
  <si>
    <t>Reineinkommen in Franken pro Pflichtigen</t>
  </si>
  <si>
    <t>0 - 19</t>
  </si>
  <si>
    <t>20 - 29</t>
  </si>
  <si>
    <t>30 - 39</t>
  </si>
  <si>
    <t>40 - 49</t>
  </si>
  <si>
    <t>50 - 59</t>
  </si>
  <si>
    <t>60 - 64</t>
  </si>
  <si>
    <t>Reinvermögen in Franken pro Pflichtigen</t>
  </si>
  <si>
    <t>Einkommenssteuer (in 1‘000 Franken)</t>
  </si>
  <si>
    <t>25.0 –   49.9</t>
  </si>
  <si>
    <t>50.0 –   74.9</t>
  </si>
  <si>
    <t>75.0 –   99.9</t>
  </si>
  <si>
    <t>100.0 – 199.9</t>
  </si>
  <si>
    <t xml:space="preserve">      200.0 –</t>
  </si>
  <si>
    <t>0.1 –   24.9</t>
  </si>
  <si>
    <t>0.1 –  199.9</t>
  </si>
  <si>
    <t>200 –  499.9</t>
  </si>
  <si>
    <t>500 –  999.9</t>
  </si>
  <si>
    <t>Vermögenssteuer (in 1‘000 Franken)</t>
  </si>
  <si>
    <t>Kantonssteuer</t>
  </si>
  <si>
    <t>Einkommenssteuer (100%)</t>
  </si>
  <si>
    <t>Vermögenssteuer (100 %)</t>
  </si>
  <si>
    <t>Stufen des steuerbaren Vermögens</t>
  </si>
  <si>
    <t>Stufen des steuerbaren Einkommens</t>
  </si>
  <si>
    <t>steuerbares Vermögen</t>
  </si>
  <si>
    <t xml:space="preserve">       100'000 –</t>
  </si>
  <si>
    <t>0 Fr.</t>
  </si>
  <si>
    <t>0.1           -  24'999 Fr.</t>
  </si>
  <si>
    <t>25'000    -  49'999 Fr.</t>
  </si>
  <si>
    <t>50'000    -  74'999 Fr.</t>
  </si>
  <si>
    <t>75'000    -  99'999 Fr.</t>
  </si>
  <si>
    <t>100'000  - 199'999 Fr.</t>
  </si>
  <si>
    <t>200'000 Fr. +</t>
  </si>
  <si>
    <t>0.1                -  199'999 Fr.</t>
  </si>
  <si>
    <t>200'000       -  499'999 Fr.</t>
  </si>
  <si>
    <t>500'000       -  999'999 Fr.</t>
  </si>
  <si>
    <t>1'000'000    -  1'999'999 Fr.</t>
  </si>
  <si>
    <t>2'000'000 Fr. +</t>
  </si>
  <si>
    <r>
      <t>Median</t>
    </r>
    <r>
      <rPr>
        <vertAlign val="superscript"/>
        <sz val="10"/>
        <rFont val="Arial"/>
        <family val="2"/>
      </rPr>
      <t>1</t>
    </r>
  </si>
  <si>
    <t>150 +</t>
  </si>
  <si>
    <t>500.0 +</t>
  </si>
  <si>
    <t>Fischbach-Göslikon</t>
  </si>
  <si>
    <t>23:</t>
  </si>
  <si>
    <t>26a:</t>
  </si>
  <si>
    <t>26b:</t>
  </si>
  <si>
    <t>11a:</t>
  </si>
  <si>
    <t>11b:</t>
  </si>
  <si>
    <t>12a:</t>
  </si>
  <si>
    <t>12b:</t>
  </si>
  <si>
    <t>13a:</t>
  </si>
  <si>
    <t>13b:</t>
  </si>
  <si>
    <t>14a:</t>
  </si>
  <si>
    <t>14b:</t>
  </si>
  <si>
    <t>15a:</t>
  </si>
  <si>
    <t>15b:</t>
  </si>
  <si>
    <t>21a:</t>
  </si>
  <si>
    <t>21b:</t>
  </si>
  <si>
    <t>27:</t>
  </si>
  <si>
    <t>Rein-
einkommen</t>
  </si>
  <si>
    <t>Rein-
vermögen</t>
  </si>
  <si>
    <t>Verheiratete Einverdienerpaare</t>
  </si>
  <si>
    <t>Verheiratete Zweiverdienerpaare</t>
  </si>
  <si>
    <t>(siehe snat_pubG4_Flyer.sps)</t>
  </si>
  <si>
    <t>Buchs (AG)</t>
  </si>
  <si>
    <t>Erlinsbach (AG)</t>
  </si>
  <si>
    <t>Birmenstorf (AG)</t>
  </si>
  <si>
    <t>Stetten (AG)</t>
  </si>
  <si>
    <t>Arni (AG)</t>
  </si>
  <si>
    <t>Bremgarten (AG)</t>
  </si>
  <si>
    <t>Niederwil (AG)</t>
  </si>
  <si>
    <t>Wohlen (AG)</t>
  </si>
  <si>
    <t>Hausen (AG)</t>
  </si>
  <si>
    <t>Thalheim (AG)</t>
  </si>
  <si>
    <t>Veltheim (AG)</t>
  </si>
  <si>
    <t>Burg (AG)</t>
  </si>
  <si>
    <t>Leimbach (AG)</t>
  </si>
  <si>
    <t>Reinach (AG)</t>
  </si>
  <si>
    <t>Teufenthal (AG)</t>
  </si>
  <si>
    <t>Münchwilen (AG)</t>
  </si>
  <si>
    <t>Holderbank (AG)</t>
  </si>
  <si>
    <t>Muri (AG)</t>
  </si>
  <si>
    <t>Stein (AG)</t>
  </si>
  <si>
    <t>Lengnau (AG)</t>
  </si>
  <si>
    <t>Rekingen (AG)</t>
  </si>
  <si>
    <t>Reineinkommen 
in Mio. Fr.</t>
  </si>
  <si>
    <t>Reinvermögen
in Mio. Fr.</t>
  </si>
  <si>
    <t>Kantonssteuer
in Mio Fr.</t>
  </si>
  <si>
    <t>in Fr.</t>
  </si>
  <si>
    <t>Einkommenssteuer 100% in Fr. pro Pflichtigen</t>
  </si>
  <si>
    <t>Vermögenssteuer 100% 
in Fr. pro Pflichtigen</t>
  </si>
  <si>
    <t>Kantonssteuer 100%
in Fr. pro Pflichtigen</t>
  </si>
  <si>
    <r>
      <t>Bruttoeinkommen</t>
    </r>
    <r>
      <rPr>
        <vertAlign val="superscript"/>
        <sz val="10"/>
        <rFont val="Arial"/>
        <family val="2"/>
      </rPr>
      <t xml:space="preserve">2
</t>
    </r>
    <r>
      <rPr>
        <sz val="10"/>
        <rFont val="Arial"/>
        <family val="2"/>
      </rPr>
      <t>in Fr.</t>
    </r>
  </si>
  <si>
    <t>Stufen der Reinvermögens in 1'000 Fr.</t>
  </si>
  <si>
    <t>Reineinkommen
in 1'000 Fr.</t>
  </si>
  <si>
    <t>Reinvermögen
in 1'000 Fr.</t>
  </si>
  <si>
    <t>Stufen des Reinvermögens
in 1'000 Fr.</t>
  </si>
  <si>
    <t>Stufen des Reineinkommens 
in 1'000 Fr.</t>
  </si>
  <si>
    <t>Stufen des Reineinkommens
in 1'000 Fr.</t>
  </si>
  <si>
    <t>Stufen des Reinvermögens 
in 1'000 Fr.</t>
  </si>
  <si>
    <t>Stufen des steuerbaren Einkommens 
in 1'000 Fr.</t>
  </si>
  <si>
    <t>Stufen des steuerbaren Vermögens 
in 1'000 Fr.</t>
  </si>
  <si>
    <r>
      <t>Stufen der 
Einkommenssteuer</t>
    </r>
    <r>
      <rPr>
        <vertAlign val="superscript"/>
        <sz val="10"/>
        <rFont val="Arial"/>
        <family val="2"/>
      </rPr>
      <t>1</t>
    </r>
    <r>
      <rPr>
        <sz val="10"/>
        <rFont val="Arial"/>
        <family val="2"/>
      </rPr>
      <t xml:space="preserve">
in Fr.</t>
    </r>
  </si>
  <si>
    <r>
      <t>Stufen der Vermögenssteuer</t>
    </r>
    <r>
      <rPr>
        <vertAlign val="superscript"/>
        <sz val="10"/>
        <rFont val="Arial"/>
        <family val="2"/>
      </rPr>
      <t>1</t>
    </r>
    <r>
      <rPr>
        <sz val="10"/>
        <rFont val="Arial"/>
        <family val="2"/>
      </rPr>
      <t xml:space="preserve"> in Fr.</t>
    </r>
  </si>
  <si>
    <t>Stufen des steuerbaren Einkommens
in 1'000 Fr.</t>
  </si>
  <si>
    <t>Stufen des Reineinkommens im In- und Ausland
(in 1'000 Fr.)</t>
  </si>
  <si>
    <t>Stufen des Reinvermögens im In- und Ausland
(in 1'000 Fr.)</t>
  </si>
  <si>
    <t>2. Steuerpflichtige Rentenempfänger, die unabhängig ihres Alters ein Renten- und Pensionseinkommen aufweisen, das mindestens 80 % des gesamten Erwerbs-, Renten- und Pensionseinkommens ausmacht.</t>
  </si>
  <si>
    <t>3. Steuerpflichtige Rentenempfänger, die unabhängig ihres Alters ein Renten- und Pensionseinkommen aufweisen, das über 50 % aber unter 80 % des gesamten Erwerbs-, Renten- und Pensionseinkommens ausmacht.</t>
  </si>
  <si>
    <r>
      <t>Rentner
Erwerbsanteil unter 20%</t>
    </r>
    <r>
      <rPr>
        <vertAlign val="superscript"/>
        <sz val="10"/>
        <rFont val="Arial"/>
        <family val="2"/>
      </rPr>
      <t>2</t>
    </r>
  </si>
  <si>
    <t>1. Bei den Steuerpflichtigen handelt es sich um Steuerpflichtige (&lt; 65 Jahre) mit Wohnsitz im Kanton Aargau (Primärpflichtige).</t>
  </si>
  <si>
    <t xml:space="preserve">           1'000 –</t>
  </si>
  <si>
    <t>1'000 –1'999.9</t>
  </si>
  <si>
    <r>
      <t>Reineinkommen
in Fr.</t>
    </r>
    <r>
      <rPr>
        <vertAlign val="superscript"/>
        <sz val="10"/>
        <rFont val="Arial"/>
        <family val="2"/>
      </rPr>
      <t>3</t>
    </r>
  </si>
  <si>
    <r>
      <t>Bruttovermögen</t>
    </r>
    <r>
      <rPr>
        <vertAlign val="superscript"/>
        <sz val="10"/>
        <rFont val="Arial"/>
        <family val="2"/>
      </rPr>
      <t xml:space="preserve">5
</t>
    </r>
    <r>
      <rPr>
        <sz val="10"/>
        <rFont val="Arial"/>
        <family val="2"/>
      </rPr>
      <t>in Fr.</t>
    </r>
  </si>
  <si>
    <r>
      <t>Reinvermögen
in Fr.</t>
    </r>
    <r>
      <rPr>
        <vertAlign val="superscript"/>
        <sz val="10"/>
        <rFont val="Arial"/>
        <family val="2"/>
      </rPr>
      <t>6</t>
    </r>
  </si>
  <si>
    <t>3. Basiert auf den Einkünften im In- und Ausland.</t>
  </si>
  <si>
    <t>4. Basiert auf den Einkünften im Kanton Aargau.</t>
  </si>
  <si>
    <t>7. Basiert auf den Vermögenswerten im Kanton Aargau.</t>
  </si>
  <si>
    <r>
      <t>Total Einkünfte</t>
    </r>
    <r>
      <rPr>
        <vertAlign val="superscript"/>
        <sz val="10"/>
        <rFont val="Arial"/>
        <family val="2"/>
      </rPr>
      <t>2</t>
    </r>
  </si>
  <si>
    <r>
      <t>Reineinkommen</t>
    </r>
    <r>
      <rPr>
        <vertAlign val="superscript"/>
        <sz val="10"/>
        <rFont val="Arial"/>
        <family val="2"/>
      </rPr>
      <t>3</t>
    </r>
  </si>
  <si>
    <r>
      <t>Reinvermögen</t>
    </r>
    <r>
      <rPr>
        <vertAlign val="superscript"/>
        <sz val="10"/>
        <rFont val="Arial"/>
        <family val="2"/>
      </rPr>
      <t>5</t>
    </r>
  </si>
  <si>
    <t>Einkünfte im In- und Ausland</t>
  </si>
  <si>
    <t>Vermögen im In- und Ausland</t>
  </si>
  <si>
    <t>Einkommens- bzw. Vermögensteile
Durchschnittswerte in Franken pro Pflichtigen</t>
  </si>
  <si>
    <t>un-
selbstständige</t>
  </si>
  <si>
    <t>Ledige, Verwitwete, Geschie-
dene und getrennt Lebende</t>
  </si>
  <si>
    <r>
      <t>Rentner 
Erwerbsanteil 20% – 49%</t>
    </r>
    <r>
      <rPr>
        <vertAlign val="superscript"/>
        <sz val="10"/>
        <rFont val="Arial"/>
        <family val="2"/>
      </rPr>
      <t>3</t>
    </r>
  </si>
  <si>
    <t>Ledige, Verwitwete, Geschiedene und 
getrennt Lebende</t>
  </si>
  <si>
    <t>25.0 – 49.9</t>
  </si>
  <si>
    <t>50.0 – 99.9</t>
  </si>
  <si>
    <t>100.0 – 149.9</t>
  </si>
  <si>
    <t>–49.9</t>
  </si>
  <si>
    <t>200.0 – 499.9</t>
  </si>
  <si>
    <t>Steuerbares
Einkommen pro
Pflichtigen in Fr.</t>
  </si>
  <si>
    <t>2. Vermögenssteuer (100%) in Promille des steuerbaren Vermögens im Kanton Aargau.</t>
  </si>
  <si>
    <t>Bözberg</t>
  </si>
  <si>
    <r>
      <t>Rentner, EA: &lt;20%</t>
    </r>
    <r>
      <rPr>
        <vertAlign val="superscript"/>
        <sz val="10"/>
        <rFont val="Arial"/>
        <family val="2"/>
      </rPr>
      <t>2</t>
    </r>
  </si>
  <si>
    <r>
      <t>Rentner, EA: 20%–49%</t>
    </r>
    <r>
      <rPr>
        <vertAlign val="superscript"/>
        <sz val="10"/>
        <rFont val="Arial"/>
        <family val="2"/>
      </rPr>
      <t>3</t>
    </r>
  </si>
  <si>
    <r>
      <t>Übrige</t>
    </r>
    <r>
      <rPr>
        <vertAlign val="superscript"/>
        <sz val="10"/>
        <rFont val="Arial"/>
        <family val="2"/>
      </rPr>
      <t>4</t>
    </r>
  </si>
  <si>
    <r>
      <t>Alleinstehend</t>
    </r>
    <r>
      <rPr>
        <vertAlign val="superscript"/>
        <sz val="10"/>
        <rFont val="Arial"/>
        <family val="2"/>
      </rPr>
      <t>5</t>
    </r>
  </si>
  <si>
    <r>
      <t xml:space="preserve"> – Alleinstehend</t>
    </r>
    <r>
      <rPr>
        <vertAlign val="superscript"/>
        <sz val="10"/>
        <rFont val="Arial"/>
        <family val="2"/>
      </rPr>
      <t>5</t>
    </r>
  </si>
  <si>
    <t>ausmacht.</t>
  </si>
  <si>
    <t>Pensionseinkommens ausmacht.</t>
  </si>
  <si>
    <t>5. Ledige, Verwitwete, Geschiedene und getrennt Lebende. Die Unterteilung erfolgt aufgrund des gesetzlichen Zivilstandes.</t>
  </si>
  <si>
    <t>Steuerstatistik 2014 – Natürliche Personen</t>
  </si>
  <si>
    <t>Entwicklung der Vermögens- und Einkommenssteuer von Pflichtigen mit Wohnsitz im Kanton Aargau, 2001 – 2014</t>
  </si>
  <si>
    <t>Entwicklung der Pflichtigen, des Reineinkommens und Reinvermögens sowie der einfachen Kantonssteuer, 2001 – 2014 (indexiert)</t>
  </si>
  <si>
    <t>Entwicklung der Pflichtigenzahl und der durchschnittlichen Einkommen und Vermögen, 2001 – 2014</t>
  </si>
  <si>
    <t>Zeitliche Entwicklung von 2001 bis 2014</t>
  </si>
  <si>
    <t>Entwicklung der Steuerbelastung von Pflichtigen mit Wohnsitz im Kanton Aargau, 2001 – 2014</t>
  </si>
  <si>
    <t>Verteilung der Pflichtigen, Einkommen und Vermögen nach Stufen des Reineinkommens, 2014</t>
  </si>
  <si>
    <t>Verteilung der Pflichtigen, Einkommen und Vermögen nach Stufen des Reinvermögens, 2014</t>
  </si>
  <si>
    <t>Verteilung der Pflichtigen nach Reineinkommens- und Reinvermögensstufen, 2014, in Promille</t>
  </si>
  <si>
    <t>Zusammensetzung des Reineinkommens und des Reinvermögens nach Zivilstand, 2014, in Franken pro Pflichtigen</t>
  </si>
  <si>
    <t>Zusammensetzung des Reineinkommens und des Reinvermögens nach Altersklassen, 2014, in Franken pro Pflichtigen</t>
  </si>
  <si>
    <t>Zusammensetzung des Reineinkommens und des Reinvermögens nach Erwerbsart, 2014, in Franken pro Pflichtigen</t>
  </si>
  <si>
    <t>Zusammensetzung des Reineinkommens und des Reinvermögens nach Familientyp, 2014, in Franken pro Pflichtigen</t>
  </si>
  <si>
    <t>Abzüge</t>
  </si>
  <si>
    <t>Zusammensetzung des Reineinkommens und des Reinvermögens nach Verdienerzahl, 2014, in Franken pro Pflichtigen (unter 65 Jahren)</t>
  </si>
  <si>
    <t>Verteilung der Pflichtigen, Steuerfaktoren und Steuern nach Stufen des steuerbaren Einkommens, 2014</t>
  </si>
  <si>
    <t>Verteilung der Pflichtigen und Einkommenssteuer nach Stufen des steuerbaren Einkommens, 2014</t>
  </si>
  <si>
    <t>Wertschriften und Kapitalanlagen</t>
  </si>
  <si>
    <t>Rudolfstetten-Friedli</t>
  </si>
  <si>
    <t>Schinznach</t>
  </si>
  <si>
    <t>Steuerpflichtige mit Wohnsitz im Kanton Aargau nach Einkommens- und Vermögensstufen und Gemeinden, in Prozent, 2014</t>
  </si>
  <si>
    <t>Verteilung der Pflichtigen, Steuerfaktoren und Steuern nach Stufen des steuerbaren Vermögens, 2014</t>
  </si>
  <si>
    <t>Verteilung der Pflichtigen und Vermögenssteuer nach Stufen des steuerbaren Vermögens, 2014</t>
  </si>
  <si>
    <t>1. Für die Berechnung werden die Einkommens- und Vermögenssteuern jeweils auf 212,7% aufgerechnet (109%: Kantonssteuerfuss plus 103,7%: gewichteter durchschnittlicher Gemeindesteuerfuss; ohne Kirchensteuer und direkte Bundessteuer).</t>
  </si>
  <si>
    <t>Verteilung der Pflichtigen, Einkommen, Vermögen und Steuern nach verschiedenen Merkmalen, 2014</t>
  </si>
  <si>
    <t>Verteilung der Pflichtigen, des steuerbaren Einkommens und der Einkommenssteuer nach Stufen des steuerbaren Einkommens und Tarifart, 2014</t>
  </si>
  <si>
    <t>Einkommen und Vermögen der Pflichtigen mit Wohnsitz im Kanton Aargau nach Gemeinden, 2014</t>
  </si>
  <si>
    <t>Verteilung der Pflichtigen und des Reineinkommens nach Zivilstand und Stufen des Reineinkommens, 2014</t>
  </si>
  <si>
    <t>Verteilung der Pflichtigen und des Reinvermögens nach Zivilstand und Stufen des Reinvermögens, 2014</t>
  </si>
  <si>
    <t>Verteilung der Pflichtigen und des Reineinkommens nach Altersklassen und Stufen des Reineinkommens, 2014</t>
  </si>
  <si>
    <t>Verteilung der Pflichtigen und des Reinvermögens nach Altersklassen und Stufen des Reinvermögens, 2014</t>
  </si>
  <si>
    <t>Verteilung der Pflichtigen und des Reineinkommens nach Erwerbsart und Stufen des Reineinkommens, 2014</t>
  </si>
  <si>
    <t>Verteilung der Pflichtigen und des Reinvermögens nach Erwerbsart und Stufen des Reinvermögens, 2014</t>
  </si>
  <si>
    <t>Verteilung der Pflichtigen und des Reinvermögens nach Familientyp und Stufen des Reinvermögens 2014</t>
  </si>
  <si>
    <t>Verteilung der Pflichtigen (unter 65 Jahren) und des Reineinkommens nach Verdienerzahl und Stufen des Reineinkommens, 2014</t>
  </si>
  <si>
    <t>Einfache Kantonssteuer der Pflichtigen mit Wohnsitz im Kanton Aargau nach Gemeinden, in Franken pro Steuerpflichtigen, 2014</t>
  </si>
  <si>
    <t>Zeitliche Abgrenzungen: Die Steuerstatistik erfasst alle natürlichen Personen, die am 31. Dezember 2014 ihren Wohnsitz im Kanton Aargau hatten (primär Steuerpflichtige) und Steuerpflichtige, die am 31. Dezember 2014 im Kanton Aargau Liegenschaftsbesitz oder einen Geschäftbetrieb, jedoch keinen Wohnsitz hatten (sekundär Steuerpflichtige). Berücksichtigt werden aber nur die Steuerpflichtigen, die vom 1.1. bis zum 31.12.2014 im Kanton Aargau steuerpflichtig waren. Die Einkommenssteuer für die Steuerperiode 2014 richtet sich dabei nach den Einkommensverhältnissen des Jahres 2014 (einjährige Gegenwartsbemessung) und die Vermögenssteuer nach dem Vermögensstand am 31. Dezember 2014.</t>
  </si>
  <si>
    <r>
      <t>Total Vermögenswerte</t>
    </r>
    <r>
      <rPr>
        <vertAlign val="superscript"/>
        <sz val="10"/>
        <rFont val="Arial"/>
        <family val="2"/>
      </rPr>
      <t>4</t>
    </r>
  </si>
  <si>
    <t>Betriebsvermögen selbstständig Erwerbende</t>
  </si>
  <si>
    <t>2. Beinhaltet die gesamten Einkünfte im In- und Ausland.</t>
  </si>
  <si>
    <t>5. Beinhaltet die gesamten Vermögenswerte im In- und Ausland.</t>
  </si>
  <si>
    <t>6. Basiert auf den Vermögenswerten im In- und Ausland.</t>
  </si>
  <si>
    <t>4. Beinhaltet die gesamten Vermögenswerte im In- und Ausland.</t>
  </si>
  <si>
    <t>5. Basiert auf den Vermögenswerten im In- und Ausland.</t>
  </si>
  <si>
    <t>Sozial- und andere Versicherungen: Pflichtige(r)</t>
  </si>
  <si>
    <t>Lebens- und Rentenversicherung (Steuerwert)</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</si>
  <si>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</si>
  <si>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Einkommens- und Vermögensverhältnisse nach sozioökonomischen Merkmalen</t>
  </si>
  <si>
    <t>Einkommens- und Vermögenssteuern im Kanton Aargau</t>
  </si>
  <si>
    <r>
      <t>Renten-
empfänger, Erwerbsanteil unter 20%</t>
    </r>
    <r>
      <rPr>
        <vertAlign val="superscript"/>
        <sz val="10"/>
        <rFont val="Arial"/>
        <family val="2"/>
      </rPr>
      <t>2</t>
    </r>
  </si>
  <si>
    <r>
      <t>Renten-
empfänger, Erwerbsanteil 20% – 49%</t>
    </r>
    <r>
      <rPr>
        <vertAlign val="superscript"/>
        <sz val="10"/>
        <rFont val="Arial"/>
        <family val="2"/>
      </rPr>
      <t>3</t>
    </r>
  </si>
  <si>
    <t>2. Steuerpflichtige Rentenempfänger, die unabhängig ihres Alters ein Renten- und Pensionseinkommen aufweisen, das mindestens 80% des gesamten Erwerbs-, Renten- und Pensionseinkommens ausmacht.</t>
  </si>
  <si>
    <t>3. Steuerpflichtige Rentenempfänger, die unabhängig ihres Alters ein Renten- und Pensionseinkommen aufweisen, das über 50% aber unter 80% des gesamten Erwerbs-, Renten- und Pensionseinkommens ausmacht.</t>
  </si>
  <si>
    <t>4.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</si>
  <si>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Verteilung der Pflichtigen (unter 65 Jahren) und des Reinvermögens nach Verdienerzahl und Stufen des Reinvermögens, 2014</t>
  </si>
  <si>
    <t>Total Vermögenswerte
in 1'000 Franken</t>
  </si>
  <si>
    <t>Verteilung der Altersrentnerinnen und -rentner, Einkommen und Vermögen nach Stufen des Reineinkommens, 2014</t>
  </si>
  <si>
    <t>Verteilung der Altersrentnerinnen und -rentner, Einkommen und Vermögen nach Stufen des Reinvermögens, 2014</t>
  </si>
  <si>
    <t>Zusammensetzung des Reineinkommens und des Reinvermögens der Altersrentnerinnen und -rentner nach Zivilstand und Altersklasse, 2014</t>
  </si>
  <si>
    <t>Verteilung der Altersrentnerinnen und -rentner, Steuerfaktoren und Steuern nach Stufen des steuerbaren Einkommens, 2014</t>
  </si>
  <si>
    <t>Verteilung der Altersrentnerinnen und -rentner, Steuerfaktoren und Steuern nach Stufen des steuerbaren Vermögens, 2014</t>
  </si>
  <si>
    <t>Einkommen, Vermögen und Steuern der Altersrentnerinnen und -rentner (65 Jahre und älter)</t>
  </si>
  <si>
    <t xml:space="preserve">       2'000 –</t>
  </si>
  <si>
    <t>Verteilung der Pflichtigen nach Einkommens- und Vermögenssteuerstufen, 2014</t>
  </si>
  <si>
    <t>2. Steuerpflichtige Rentenempfänger, die unabhängig ihres Alters ein Renten- und Pensionseinkommen aufweisen, das mindestens 80% des gesamten Erwerbs-, Renten- und Pensionseinkommens</t>
  </si>
  <si>
    <t>3. Steuerpflichtige Rentenempfänger, die unabhängig ihres Alters ein Renten- und Pensionseinkommen aufweisen, das über 50% aber unter 80% des gesamten Erwerbs-, Renten- und</t>
  </si>
  <si>
    <t>4. Steuerpflichtige ohne Erwerbs-, Renten- und Pensionseinkommen.</t>
  </si>
  <si>
    <r>
      <t>2. Steuerpflichtige, die im Kanton nur für einen Teil ihres Einkommens steuerpflichtig sind, entrichten die Steuern für die im Kanton steuerbaren Werte nach dem Steuersatz, der ihrem gesamten Einkommen entspricht. Steuerfreie Beiträge werden anteilsmässig gewährt (</t>
    </r>
    <r>
      <rPr>
        <sz val="9"/>
        <rFont val="Calibri"/>
        <family val="2"/>
      </rPr>
      <t>§</t>
    </r>
    <r>
      <rPr>
        <sz val="9"/>
        <rFont val="Arial"/>
        <family val="2"/>
      </rPr>
      <t xml:space="preserve">19 Abs. 1 StG). Als Folge kann die ausgewiesene Steuerbelastung, die auf das steuerbare Einkommen im Kanton Aargau bezogen ist, einerseits für tiefe Einkommen höher ausfallen als für höhere und andererseits auch für die Steuerbelastung einer Klasse beim Tarif B grösser sein als beim Tarif A. </t>
    </r>
  </si>
  <si>
    <r>
      <t>Einkommenssteuer</t>
    </r>
    <r>
      <rPr>
        <vertAlign val="superscript"/>
        <sz val="10"/>
        <rFont val="Arial"/>
        <family val="2"/>
      </rPr>
      <t>2</t>
    </r>
    <r>
      <rPr>
        <sz val="10"/>
        <rFont val="Arial"/>
        <family val="2"/>
      </rPr>
      <t xml:space="preserve">
(100%) pro 
Pflichtigen in Fr.</t>
    </r>
  </si>
  <si>
    <t>1. Dieser lagetypische Messwert halbiert eine ihrer Grösse nach geordnete Reihe von Messwerten, d.h. die geordnete Reihe von Beobachtungswerten wird durch den Median in zwei gleiche Teile zerlegt (50% der Einkommen bzw. Vermögen sind kleiner als der Median und die übrigen 50% sind grösser).</t>
  </si>
  <si>
    <t>–24.9</t>
  </si>
  <si>
    <r>
      <t>Steuerbares Einkommen
in Fr.</t>
    </r>
    <r>
      <rPr>
        <vertAlign val="superscript"/>
        <sz val="10"/>
        <rFont val="Arial"/>
        <family val="2"/>
      </rPr>
      <t>4</t>
    </r>
  </si>
  <si>
    <r>
      <t>Steuerbares Vermögen
in Fr.</t>
    </r>
    <r>
      <rPr>
        <vertAlign val="superscript"/>
        <sz val="10"/>
        <rFont val="Arial"/>
        <family val="2"/>
      </rPr>
      <t>7</t>
    </r>
  </si>
  <si>
    <t>- Berufskosten bei unselbstständiger Tätigkeit (Einzelperson / Ehemann und Ehefrau)</t>
  </si>
  <si>
    <t>- Einkünfte aus unselbstständiger Tätigkeit (Einzelperson / Ehemann und Ehefrau)</t>
  </si>
  <si>
    <t>- Einkünfte aus selbstständiger Tätigkeit (Einzelperson / Ehemann und Ehefrau)</t>
  </si>
  <si>
    <t>- Einkünfte aus Sozial- und anderen Versicherungen (Einzelperson / Ehemann und Ehefrau)</t>
  </si>
  <si>
    <t>…</t>
  </si>
  <si>
    <r>
      <t>Aarau</t>
    </r>
    <r>
      <rPr>
        <vertAlign val="superscript"/>
        <sz val="10"/>
        <rFont val="Arial"/>
        <family val="2"/>
      </rPr>
      <t>2</t>
    </r>
  </si>
  <si>
    <r>
      <t>Aarau</t>
    </r>
    <r>
      <rPr>
        <vertAlign val="superscript"/>
        <sz val="10"/>
        <rFont val="Arial"/>
        <family val="2"/>
      </rPr>
      <t>1</t>
    </r>
  </si>
  <si>
    <t>Verteilung der Pflichtigen und des Reineinkommens nach Familientyp und Stufen des Reineinkommens, 2014</t>
  </si>
  <si>
    <t>2. Für die Stadt Aarau sind zwar ab 2014 Daten aus der VERANA-Lösung des Kantons Aargau (Informatik-Dienstleistung des Kantonalen Steueramtes: Veranlagungsunterstützung für natürliche Personen) verfügbar, jedoch noch keine Angaben aus der «Servicelösung Steuerbezug». Daher kann Aarau für diese Auswertung noch nicht berücksichtigt werden.</t>
  </si>
  <si>
    <r>
      <t>Pflichtige</t>
    </r>
    <r>
      <rPr>
        <vertAlign val="superscript"/>
        <sz val="10"/>
        <rFont val="Arial"/>
        <family val="2"/>
      </rPr>
      <t>3</t>
    </r>
  </si>
  <si>
    <r>
      <t>Pflichtige</t>
    </r>
    <r>
      <rPr>
        <vertAlign val="superscript"/>
        <sz val="10"/>
        <rFont val="Arial"/>
        <family val="2"/>
      </rPr>
      <t>2</t>
    </r>
  </si>
  <si>
    <t>1. Für die Stadt Aarau sind zwar ab 2014 Daten aus der VERANA-Lösung des Kantons Aargau (Informatik-Dienstleistung des Kantonalen Steueramtes: Veranlagungsunterstützung für natürliche Personen) verfügbar, jedoch noch keine Angaben aus der «Servicelösung Steuerbezug». Daher kann Aarau für diese Auswertung noch nicht berücksichtigt werden.</t>
  </si>
  <si>
    <t>2. Bei den Steuerpflichtigen handelt es sich um Steuerpflichtige mit Wohnsitz im Kanton Aargau (Primärpflichtige).
Die Daten für die einzelnen Gemeinden wurden nicht auf die Gesamtzahl der Steuerpflichtigen im Kanton Aargau hochgerechnet. Nicht berücksichtigt sind daher Steuerpflichtige, bei denen weder für das Steuerjahr 2013 noch für das Steuerjahr 2014 eine geprüfte Steuererklärung vorliegt.</t>
  </si>
  <si>
    <t>Bei den Steuern handelt es sich in der Regel um die einfache (100%-ige) Kantonssteuer. Nicht berücksichtigt sind somit die vom Grossen Rat festgesetzte Reduktion des Steuerfusses für die ordentliche Kantonssteuer sowie ein allfälliger Zuschlag für den direkten Finanzausgleich, der im Spitalgesetz festgelegte Zuschlag und die Steuern der Gemeinden.</t>
  </si>
  <si>
    <t>Die Daten aus dem «VERANA» (computerunterstützte Veranlagung der natürlichen Personen), die von den Gemeinden direkt an das Kantonale Steueramt übermittelt werden, dienen als Datengrundlage. Für die Statistik werden alle Daten von Steuerpflichtigen berücksichtigt, die vom Gemeindesteueramt mindestens geprüft wurden und einen genau definierten Veranlagungsstand (Status) erreicht haben, d.h. die Angaben von Pflichtigen, für die erst eine Selbstdeklaration verfügbar ist, werden nicht einbezogen; es muss mindestens eine Freigabe durch die Vorsteherin oder den Vorsteher des Gemeindesteueramts vorliegen.</t>
  </si>
  <si>
    <t>Diese Daten werden aufgrund von verschiedenen Merkmalen (Altersklasse, satzbestimmendes Einkommen und Vermögen) auf die Gesamtzahl der Steuerpflichtigen im Kanton Aargau hochgerechnet. Die Gesamtzahl der Steuerpflichtigen ergibt sich aus den Angaben der «Servicelösung Steuerbezug» und den entsprechenden Angaben der Stadt Aarau, welche erst ab 2016 bei dieser Servicelösung angeschlossen sein wird. Für das Jahr 2014 betrug der Hochrechnungsfaktor durchschnittlich 1,0397, d.h. die ausgewerteten (VERANA-) Daten umfassen 96,18 % der Steuerpflichtigen der Grundgesamtheit.</t>
  </si>
  <si>
    <t>- Fremdbetreuung von Kindern</t>
  </si>
  <si>
    <t>3. Bei den Steuerpflichtigen handelt es sich um Steuerpflichtige mit Wohnsitz im Kanton Aargau (Primärpflichtige).
Die Daten für die einzelnen Gemeinden wurden nicht auf die Gesamtzahl der Steuerpflichtigen im Kanton Aargau hochgerechnet. Nicht berücksichtigt sind daher Steuerpflichtige, bei denen weder für das Steuerjahr 2013 noch für das Steuerjahr 2014 eine geprüfte Steuererklärung vorliegt.</t>
  </si>
  <si>
    <t>Hinweis: Aus Datenschutzgründen wird eine zu kleine Anzahl an Steuerpflichtigen in einer Klasse zur unteren Einkommens- bzw. Vermögensstufe dazugerechnet.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</si>
</sst>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 #,##0.00_ ;_ * \-#,##0.00_ ;_ * &quot;-&quot;??_ ;_ @_ "/>
    <numFmt numFmtId="164" formatCode="0.0"/>
    <numFmt numFmtId="165" formatCode="General\:"/>
    <numFmt numFmtId="166" formatCode="_ * #,##0.0_ ;_ * \-#,##0.0_ ;_ * &quot;-&quot;??_ ;_ @_ "/>
    <numFmt numFmtId="167" formatCode="_ * #,##0_ ;_ * \-#,##0_ ;_ * &quot;-&quot;??_ ;_ @_ "/>
    <numFmt numFmtId="168" formatCode="0.0%"/>
    <numFmt numFmtId="169" formatCode="_(* #,##0_);_(* \(#,##0\);_(* &quot;-&quot;??_);_(@_)"/>
    <numFmt numFmtId="170" formatCode="0.00\‰"/>
    <numFmt numFmtId="171" formatCode="0_ ;\-0\ "/>
    <numFmt numFmtId="172" formatCode="_ * #,##0.000_ ;_ * \-#,##0.000_ ;_ * &quot;-&quot;??_ ;_ @_ "/>
  </numFmts>
  <fonts count="43" x14ac:knownFonts="1">
    <font>
      <sz val="10"/>
      <name val="Arial"/>
    </font>
    <font>
      <sz val="11"/>
      <color theme="1"/>
      <name val="Arial"/>
      <family val="2"/>
    </font>
    <font>
      <sz val="11"/>
      <color theme="1"/>
      <name val="Arial"/>
      <family val="2"/>
    </font>
    <font>
      <sz val="11"/>
      <color theme="1"/>
      <name val="Calibri"/>
      <family val="2"/>
      <scheme val="minor"/>
    </font>
    <font>
      <b/>
      <sz val="10"/>
      <name val="Arial"/>
      <family val="2"/>
    </font>
    <font>
      <sz val="8"/>
      <name val="Arial"/>
      <family val="2"/>
    </font>
    <font>
      <sz val="10"/>
      <name val="Arial"/>
      <family val="2"/>
    </font>
    <font>
      <i/>
      <sz val="10"/>
      <name val="Arial"/>
      <family val="2"/>
    </font>
    <font>
      <sz val="9"/>
      <name val="Arial"/>
      <family val="2"/>
    </font>
    <font>
      <u/>
      <sz val="10"/>
      <color indexed="12"/>
      <name val="Arial"/>
      <family val="2"/>
    </font>
    <font>
      <b/>
      <sz val="16"/>
      <name val="Arial"/>
      <family val="2"/>
    </font>
    <font>
      <b/>
      <sz val="12"/>
      <name val="Arial"/>
      <family val="2"/>
    </font>
    <font>
      <sz val="10"/>
      <name val="Arial"/>
      <family val="2"/>
    </font>
    <font>
      <sz val="10"/>
      <color indexed="55"/>
      <name val="Arial"/>
      <family val="2"/>
    </font>
    <font>
      <sz val="11"/>
      <color theme="1"/>
      <name val="Arial"/>
      <family val="2"/>
    </font>
    <font>
      <sz val="10"/>
      <color theme="1"/>
      <name val="Arial"/>
      <family val="2"/>
    </font>
    <font>
      <u/>
      <sz val="10"/>
      <name val="Arial"/>
      <family val="2"/>
    </font>
    <font>
      <sz val="12"/>
      <name val="Arial"/>
      <family val="2"/>
    </font>
    <font>
      <u/>
      <sz val="9"/>
      <name val="Arial"/>
      <family val="2"/>
    </font>
    <font>
      <sz val="10"/>
      <name val="Arial"/>
      <family val="2"/>
    </font>
    <font>
      <sz val="9"/>
      <color theme="1"/>
      <name val="Arial"/>
      <family val="2"/>
    </font>
    <font>
      <vertAlign val="superscript"/>
      <sz val="10"/>
      <name val="Arial"/>
      <family val="2"/>
    </font>
    <font>
      <b/>
      <vertAlign val="superscript"/>
      <sz val="10"/>
      <name val="Arial"/>
      <family val="2"/>
    </font>
    <font>
      <sz val="8"/>
      <color theme="1"/>
      <name val="Arial"/>
      <family val="2"/>
    </font>
    <font>
      <sz val="10"/>
      <color theme="0"/>
      <name val="Arial"/>
      <family val="2"/>
    </font>
    <font>
      <sz val="9"/>
      <name val="Calibri"/>
      <family val="2"/>
    </font>
    <font>
      <sz val="10"/>
      <name val="Arial"/>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s>
  <fills count="3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0" fontId="0"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4" fillId="0" borderId="0"/>
    <xf numFmtId="0" fontId="12" fillId="0" borderId="0"/>
    <xf numFmtId="43" fontId="19" fillId="0" borderId="0" applyFont="0" applyFill="0" applyBorder="0" applyAlignment="0" applyProtection="0"/>
    <xf numFmtId="9" fontId="19"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27" fillId="0" borderId="0" applyNumberFormat="0" applyFill="0" applyBorder="0" applyAlignment="0" applyProtection="0"/>
    <xf numFmtId="0" fontId="28" fillId="0" borderId="14"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17" applyNumberFormat="0" applyAlignment="0" applyProtection="0"/>
    <xf numFmtId="0" fontId="35" fillId="8" borderId="18" applyNumberFormat="0" applyAlignment="0" applyProtection="0"/>
    <xf numFmtId="0" fontId="36" fillId="8" borderId="17" applyNumberFormat="0" applyAlignment="0" applyProtection="0"/>
    <xf numFmtId="0" fontId="37" fillId="0" borderId="19" applyNumberFormat="0" applyFill="0" applyAlignment="0" applyProtection="0"/>
    <xf numFmtId="0" fontId="38" fillId="9" borderId="20"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22" applyNumberFormat="0" applyFill="0" applyAlignment="0" applyProtection="0"/>
    <xf numFmtId="0" fontId="4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2" fillId="34" borderId="0" applyNumberFormat="0" applyBorder="0" applyAlignment="0" applyProtection="0"/>
    <xf numFmtId="0" fontId="1" fillId="0" borderId="0"/>
    <xf numFmtId="0" fontId="1" fillId="10" borderId="21" applyNumberFormat="0" applyFont="0" applyAlignment="0" applyProtection="0"/>
    <xf numFmtId="0" fontId="26" fillId="0" borderId="0"/>
    <xf numFmtId="0" fontId="9" fillId="0" borderId="0" applyNumberFormat="0" applyFill="0" applyBorder="0" applyAlignment="0" applyProtection="0">
      <alignment vertical="top"/>
      <protection locked="0"/>
    </xf>
    <xf numFmtId="0" fontId="1" fillId="0" borderId="0"/>
    <xf numFmtId="43" fontId="6" fillId="0" borderId="0" applyFont="0" applyFill="0" applyBorder="0" applyAlignment="0" applyProtection="0"/>
    <xf numFmtId="0" fontId="1" fillId="0" borderId="0"/>
    <xf numFmtId="0" fontId="1" fillId="10" borderId="21" applyNumberFormat="0" applyFont="0" applyAlignment="0" applyProtection="0"/>
  </cellStyleXfs>
  <cellXfs count="363">
    <xf numFmtId="0" fontId="0" fillId="0" borderId="0" xfId="0"/>
    <xf numFmtId="0" fontId="0" fillId="0" borderId="0" xfId="0" applyAlignment="1">
      <alignment vertical="top"/>
    </xf>
    <xf numFmtId="0" fontId="6" fillId="0" borderId="0" xfId="0" applyFont="1" applyFill="1"/>
    <xf numFmtId="0" fontId="8" fillId="0" borderId="0" xfId="0" applyFont="1" applyFill="1" applyAlignment="1">
      <alignment horizontal="right"/>
    </xf>
    <xf numFmtId="0" fontId="8" fillId="0" borderId="0" xfId="0" applyFont="1" applyFill="1"/>
    <xf numFmtId="0" fontId="10" fillId="0" borderId="0" xfId="0" applyFont="1" applyFill="1" applyAlignment="1">
      <alignment horizontal="right"/>
    </xf>
    <xf numFmtId="0" fontId="0" fillId="0" borderId="0" xfId="0"/>
    <xf numFmtId="0" fontId="4" fillId="0" borderId="0" xfId="0" applyFont="1" applyAlignment="1">
      <alignment vertical="top"/>
    </xf>
    <xf numFmtId="0" fontId="13" fillId="0" borderId="0" xfId="0" applyFont="1" applyAlignment="1">
      <alignment vertical="top"/>
    </xf>
    <xf numFmtId="3" fontId="13" fillId="0" borderId="0" xfId="0" applyNumberFormat="1" applyFont="1" applyAlignment="1">
      <alignment vertical="top"/>
    </xf>
    <xf numFmtId="0" fontId="4" fillId="0" borderId="1" xfId="0" applyFont="1" applyBorder="1" applyAlignment="1">
      <alignment vertical="top"/>
    </xf>
    <xf numFmtId="0" fontId="17" fillId="0" borderId="0" xfId="0" applyFont="1" applyAlignment="1">
      <alignment vertical="top"/>
    </xf>
    <xf numFmtId="0" fontId="6" fillId="0" borderId="1" xfId="0" applyFont="1" applyBorder="1"/>
    <xf numFmtId="49" fontId="6" fillId="0" borderId="0" xfId="0" applyNumberFormat="1" applyFont="1" applyFill="1"/>
    <xf numFmtId="0" fontId="6" fillId="0" borderId="0" xfId="0" applyFont="1" applyAlignment="1">
      <alignment vertical="top" wrapText="1"/>
    </xf>
    <xf numFmtId="0" fontId="8" fillId="0" borderId="0" xfId="0" applyFont="1" applyFill="1" applyAlignment="1">
      <alignment vertical="top"/>
    </xf>
    <xf numFmtId="49" fontId="8" fillId="0" borderId="0" xfId="0" applyNumberFormat="1" applyFont="1" applyFill="1" applyAlignment="1">
      <alignment vertical="top"/>
    </xf>
    <xf numFmtId="0" fontId="6" fillId="0" borderId="0" xfId="0" applyFont="1" applyFill="1" applyAlignment="1">
      <alignment vertical="top"/>
    </xf>
    <xf numFmtId="49" fontId="6" fillId="0" borderId="0" xfId="0" applyNumberFormat="1" applyFont="1" applyFill="1" applyAlignment="1">
      <alignment vertical="top"/>
    </xf>
    <xf numFmtId="0" fontId="0" fillId="0" borderId="0" xfId="0" applyAlignment="1">
      <alignment vertical="top" wrapText="1"/>
    </xf>
    <xf numFmtId="0" fontId="4" fillId="2" borderId="0" xfId="0" applyFont="1" applyFill="1" applyAlignment="1">
      <alignment vertical="top" wrapText="1"/>
    </xf>
    <xf numFmtId="0" fontId="4" fillId="0" borderId="0" xfId="0" applyFont="1" applyAlignment="1">
      <alignment vertical="top" wrapText="1"/>
    </xf>
    <xf numFmtId="3" fontId="4" fillId="0" borderId="0" xfId="0" applyNumberFormat="1" applyFont="1" applyBorder="1" applyAlignment="1">
      <alignment vertical="top"/>
    </xf>
    <xf numFmtId="164" fontId="4" fillId="0" borderId="0" xfId="0" applyNumberFormat="1" applyFont="1" applyBorder="1" applyAlignment="1">
      <alignment vertical="top"/>
    </xf>
    <xf numFmtId="0" fontId="6" fillId="0" borderId="1" xfId="0" quotePrefix="1" applyFont="1" applyBorder="1" applyAlignment="1">
      <alignment horizontal="right"/>
    </xf>
    <xf numFmtId="0" fontId="6" fillId="0" borderId="1" xfId="0" applyFont="1" applyBorder="1" applyAlignment="1">
      <alignment horizontal="right"/>
    </xf>
    <xf numFmtId="0" fontId="6" fillId="0" borderId="1" xfId="0" applyFont="1" applyBorder="1" applyAlignment="1">
      <alignment horizontal="left"/>
    </xf>
    <xf numFmtId="167" fontId="0" fillId="0" borderId="1" xfId="5" applyNumberFormat="1" applyFont="1" applyBorder="1"/>
    <xf numFmtId="168" fontId="0" fillId="0" borderId="1" xfId="6" applyNumberFormat="1" applyFont="1" applyBorder="1" applyAlignment="1">
      <alignment vertical="top"/>
    </xf>
    <xf numFmtId="168" fontId="4" fillId="0" borderId="1" xfId="6" applyNumberFormat="1" applyFont="1" applyBorder="1" applyAlignment="1">
      <alignment vertical="top"/>
    </xf>
    <xf numFmtId="167" fontId="0" fillId="0" borderId="0" xfId="5" applyNumberFormat="1" applyFont="1"/>
    <xf numFmtId="167" fontId="4" fillId="0" borderId="1" xfId="5" applyNumberFormat="1" applyFont="1" applyBorder="1" applyAlignment="1">
      <alignment vertical="top"/>
    </xf>
    <xf numFmtId="0" fontId="0" fillId="0" borderId="1" xfId="0" applyBorder="1" applyAlignment="1">
      <alignment vertical="top"/>
    </xf>
    <xf numFmtId="167" fontId="0" fillId="0" borderId="1" xfId="5" applyNumberFormat="1" applyFont="1" applyBorder="1" applyAlignment="1">
      <alignment vertical="top"/>
    </xf>
    <xf numFmtId="166" fontId="0" fillId="0" borderId="1" xfId="5" applyNumberFormat="1" applyFont="1" applyBorder="1" applyAlignment="1">
      <alignment vertical="top"/>
    </xf>
    <xf numFmtId="167" fontId="6" fillId="0" borderId="1" xfId="5" applyNumberFormat="1" applyFont="1" applyBorder="1" applyAlignment="1">
      <alignment vertical="top"/>
    </xf>
    <xf numFmtId="0" fontId="0" fillId="0" borderId="0" xfId="0" applyAlignment="1">
      <alignment vertical="top"/>
    </xf>
    <xf numFmtId="0" fontId="6" fillId="0" borderId="0" xfId="0" quotePrefix="1" applyFont="1" applyAlignment="1">
      <alignment vertical="top" wrapText="1"/>
    </xf>
    <xf numFmtId="166" fontId="4" fillId="0" borderId="1" xfId="5" applyNumberFormat="1" applyFont="1" applyBorder="1" applyAlignment="1">
      <alignment vertical="top"/>
    </xf>
    <xf numFmtId="0" fontId="0" fillId="0" borderId="0" xfId="0" applyAlignment="1">
      <alignment vertical="top"/>
    </xf>
    <xf numFmtId="0" fontId="6" fillId="0" borderId="0" xfId="0" quotePrefix="1" applyFont="1" applyAlignment="1">
      <alignment horizontal="left" vertical="top" wrapText="1" indent="1"/>
    </xf>
    <xf numFmtId="0" fontId="6" fillId="0" borderId="0" xfId="0" applyFont="1" applyAlignment="1">
      <alignment horizontal="left" vertical="top" wrapText="1" indent="1"/>
    </xf>
    <xf numFmtId="0" fontId="0" fillId="0" borderId="0" xfId="0" applyAlignment="1">
      <alignment vertical="top"/>
    </xf>
    <xf numFmtId="164" fontId="6" fillId="0" borderId="0" xfId="0" applyNumberFormat="1" applyFont="1" applyBorder="1" applyAlignment="1">
      <alignment vertical="top"/>
    </xf>
    <xf numFmtId="3" fontId="6" fillId="0" borderId="0" xfId="0" applyNumberFormat="1" applyFont="1" applyBorder="1" applyAlignment="1">
      <alignment vertical="top"/>
    </xf>
    <xf numFmtId="0" fontId="6" fillId="0" borderId="0" xfId="0" applyFont="1" applyAlignment="1">
      <alignment vertical="top"/>
    </xf>
    <xf numFmtId="0" fontId="6" fillId="2" borderId="1" xfId="0" applyFont="1" applyFill="1" applyBorder="1" applyAlignment="1">
      <alignment horizontal="right" vertical="top" wrapText="1"/>
    </xf>
    <xf numFmtId="0" fontId="6" fillId="2" borderId="1" xfId="0" applyFont="1" applyFill="1" applyBorder="1" applyAlignment="1">
      <alignment horizontal="right" vertical="top"/>
    </xf>
    <xf numFmtId="2" fontId="0" fillId="0" borderId="0" xfId="0" applyNumberFormat="1" applyAlignment="1">
      <alignment vertical="top"/>
    </xf>
    <xf numFmtId="0" fontId="6" fillId="0" borderId="0" xfId="0" applyFont="1" applyFill="1" applyAlignment="1">
      <alignment horizontal="left"/>
    </xf>
    <xf numFmtId="165" fontId="0" fillId="0" borderId="0" xfId="0" applyNumberFormat="1" applyFont="1" applyFill="1" applyAlignment="1">
      <alignment horizontal="right"/>
    </xf>
    <xf numFmtId="0" fontId="6" fillId="0" borderId="0" xfId="0" applyFont="1" applyFill="1" applyAlignment="1">
      <alignment horizontal="right"/>
    </xf>
    <xf numFmtId="0" fontId="0" fillId="0" borderId="0" xfId="0" applyFill="1" applyBorder="1" applyAlignment="1">
      <alignment vertical="top"/>
    </xf>
    <xf numFmtId="0" fontId="16" fillId="0" borderId="0" xfId="1" applyFont="1" applyFill="1" applyBorder="1" applyAlignment="1" applyProtection="1"/>
    <xf numFmtId="49" fontId="6" fillId="0" borderId="0" xfId="0" applyNumberFormat="1" applyFont="1" applyFill="1" applyAlignment="1">
      <alignment horizontal="left"/>
    </xf>
    <xf numFmtId="0" fontId="11" fillId="0" borderId="0" xfId="0" applyFont="1" applyFill="1" applyAlignment="1">
      <alignment horizontal="left"/>
    </xf>
    <xf numFmtId="49" fontId="11" fillId="0" borderId="0" xfId="0" applyNumberFormat="1" applyFont="1" applyFill="1" applyAlignment="1">
      <alignment horizontal="left"/>
    </xf>
    <xf numFmtId="165" fontId="6" fillId="0" borderId="0" xfId="0" applyNumberFormat="1" applyFont="1" applyFill="1" applyAlignment="1">
      <alignment horizontal="right"/>
    </xf>
    <xf numFmtId="0" fontId="4" fillId="0" borderId="1" xfId="0" applyFont="1" applyBorder="1" applyAlignment="1">
      <alignment horizontal="left" vertical="top"/>
    </xf>
    <xf numFmtId="0" fontId="0" fillId="0" borderId="0" xfId="0" applyFill="1" applyAlignment="1">
      <alignment vertical="top"/>
    </xf>
    <xf numFmtId="0" fontId="16" fillId="0" borderId="0" xfId="1" applyFont="1" applyFill="1" applyBorder="1" applyAlignment="1" applyProtection="1"/>
    <xf numFmtId="0" fontId="11" fillId="0" borderId="0" xfId="0" applyFont="1" applyAlignment="1">
      <alignment horizontal="left" vertical="top"/>
    </xf>
    <xf numFmtId="0" fontId="0" fillId="0" borderId="0" xfId="0" applyAlignment="1">
      <alignment vertical="top"/>
    </xf>
    <xf numFmtId="0" fontId="15" fillId="0" borderId="0" xfId="0" applyFont="1" applyFill="1" applyBorder="1" applyAlignment="1">
      <alignment horizontal="right" vertical="top"/>
    </xf>
    <xf numFmtId="0" fontId="15" fillId="0" borderId="0" xfId="0" applyFont="1" applyFill="1" applyBorder="1" applyAlignment="1">
      <alignment vertical="top"/>
    </xf>
    <xf numFmtId="0" fontId="0" fillId="0" borderId="0" xfId="0" applyBorder="1" applyAlignment="1">
      <alignment vertical="top"/>
    </xf>
    <xf numFmtId="164" fontId="15" fillId="0" borderId="0" xfId="6" applyNumberFormat="1" applyFont="1" applyFill="1" applyBorder="1" applyAlignment="1">
      <alignment vertical="top"/>
    </xf>
    <xf numFmtId="0" fontId="16" fillId="0" borderId="0" xfId="1" applyFont="1" applyFill="1" applyBorder="1" applyAlignment="1" applyProtection="1"/>
    <xf numFmtId="0" fontId="16" fillId="0" borderId="0" xfId="1" applyFont="1" applyFill="1" applyBorder="1" applyAlignment="1" applyProtection="1">
      <alignment wrapText="1"/>
    </xf>
    <xf numFmtId="0" fontId="11" fillId="0" borderId="0" xfId="0" applyFont="1" applyAlignment="1">
      <alignment horizontal="left" vertical="top"/>
    </xf>
    <xf numFmtId="0" fontId="6" fillId="2" borderId="2" xfId="0" applyFont="1" applyFill="1" applyBorder="1" applyAlignment="1">
      <alignment horizontal="right" vertical="top"/>
    </xf>
    <xf numFmtId="0" fontId="0" fillId="0" borderId="0" xfId="0" applyAlignment="1">
      <alignment vertical="top"/>
    </xf>
    <xf numFmtId="0" fontId="16" fillId="0" borderId="0" xfId="1" applyFont="1" applyFill="1" applyBorder="1" applyAlignment="1" applyProtection="1"/>
    <xf numFmtId="0" fontId="11" fillId="0" borderId="0" xfId="0" applyFont="1" applyAlignment="1">
      <alignment horizontal="left" vertical="top"/>
    </xf>
    <xf numFmtId="0" fontId="6" fillId="2" borderId="10" xfId="0" applyFont="1" applyFill="1" applyBorder="1" applyAlignment="1">
      <alignment horizontal="center" vertical="top"/>
    </xf>
    <xf numFmtId="0" fontId="0" fillId="0" borderId="0" xfId="0" applyAlignment="1">
      <alignment horizontal="left" vertical="top"/>
    </xf>
    <xf numFmtId="0" fontId="0" fillId="0" borderId="0" xfId="0" applyAlignment="1">
      <alignment vertical="top"/>
    </xf>
    <xf numFmtId="0" fontId="6" fillId="2" borderId="1" xfId="0" applyFont="1" applyFill="1" applyBorder="1" applyAlignment="1">
      <alignment horizontal="center" vertical="top" wrapText="1"/>
    </xf>
    <xf numFmtId="0" fontId="6" fillId="2" borderId="1" xfId="0" applyFont="1" applyFill="1" applyBorder="1" applyAlignment="1">
      <alignment vertical="top" wrapText="1"/>
    </xf>
    <xf numFmtId="0" fontId="6" fillId="2" borderId="1" xfId="0" applyFont="1" applyFill="1" applyBorder="1" applyAlignment="1">
      <alignment horizontal="left" vertical="top" wrapText="1"/>
    </xf>
    <xf numFmtId="169" fontId="0" fillId="0" borderId="1" xfId="5" applyNumberFormat="1" applyFont="1" applyBorder="1"/>
    <xf numFmtId="166" fontId="6" fillId="0" borderId="1" xfId="5" applyNumberFormat="1" applyFont="1" applyBorder="1" applyAlignment="1">
      <alignment vertical="top"/>
    </xf>
    <xf numFmtId="0" fontId="20" fillId="0" borderId="0" xfId="3" applyFont="1" applyAlignment="1">
      <alignment vertical="top"/>
    </xf>
    <xf numFmtId="0" fontId="8" fillId="0" borderId="0" xfId="0" applyFont="1" applyAlignment="1">
      <alignment vertical="top"/>
    </xf>
    <xf numFmtId="10" fontId="0" fillId="0" borderId="1" xfId="6" applyNumberFormat="1" applyFont="1" applyBorder="1" applyAlignment="1">
      <alignment vertical="top"/>
    </xf>
    <xf numFmtId="0" fontId="11" fillId="0" borderId="0" xfId="0" applyFont="1" applyAlignment="1">
      <alignment horizontal="left" vertical="top"/>
    </xf>
    <xf numFmtId="0" fontId="0" fillId="0" borderId="0" xfId="0" applyAlignment="1">
      <alignment vertical="top"/>
    </xf>
    <xf numFmtId="0" fontId="6" fillId="2" borderId="1" xfId="0" applyFont="1" applyFill="1" applyBorder="1" applyAlignment="1">
      <alignment horizontal="center" vertical="top" wrapText="1"/>
    </xf>
    <xf numFmtId="170" fontId="0" fillId="0" borderId="1" xfId="5" applyNumberFormat="1" applyFont="1" applyBorder="1" applyAlignment="1">
      <alignment vertical="top"/>
    </xf>
    <xf numFmtId="0" fontId="6" fillId="2" borderId="10" xfId="3" applyFont="1" applyFill="1" applyBorder="1" applyAlignment="1">
      <alignment horizontal="center" vertical="top"/>
    </xf>
    <xf numFmtId="169" fontId="4" fillId="0" borderId="1" xfId="0" applyNumberFormat="1" applyFont="1" applyBorder="1" applyAlignment="1">
      <alignment vertical="top"/>
    </xf>
    <xf numFmtId="0" fontId="6" fillId="2" borderId="1" xfId="0" quotePrefix="1" applyFont="1" applyFill="1" applyBorder="1" applyAlignment="1">
      <alignment horizontal="right" vertical="top" wrapText="1"/>
    </xf>
    <xf numFmtId="0" fontId="11" fillId="0" borderId="0" xfId="0" applyFont="1" applyAlignment="1">
      <alignment vertical="top"/>
    </xf>
    <xf numFmtId="0" fontId="6" fillId="2" borderId="4" xfId="0" quotePrefix="1" applyFont="1" applyFill="1" applyBorder="1" applyAlignment="1">
      <alignment horizontal="right" vertical="top"/>
    </xf>
    <xf numFmtId="0" fontId="6" fillId="0" borderId="1" xfId="0" quotePrefix="1" applyFont="1" applyBorder="1"/>
    <xf numFmtId="0" fontId="6" fillId="0" borderId="1" xfId="0" quotePrefix="1" applyFont="1" applyBorder="1" applyAlignment="1">
      <alignment horizontal="left"/>
    </xf>
    <xf numFmtId="49" fontId="6" fillId="2" borderId="4" xfId="0" quotePrefix="1" applyNumberFormat="1" applyFont="1" applyFill="1" applyBorder="1" applyAlignment="1">
      <alignment horizontal="right" vertical="top" wrapText="1"/>
    </xf>
    <xf numFmtId="0" fontId="4" fillId="2" borderId="4" xfId="0" quotePrefix="1" applyFont="1" applyFill="1" applyBorder="1" applyAlignment="1">
      <alignment horizontal="right" vertical="top"/>
    </xf>
    <xf numFmtId="0" fontId="6" fillId="0" borderId="1" xfId="0" applyFont="1" applyBorder="1" applyAlignment="1">
      <alignment horizontal="right" vertical="top"/>
    </xf>
    <xf numFmtId="0" fontId="6" fillId="0" borderId="0" xfId="0" applyFont="1" applyFill="1" applyBorder="1" applyAlignment="1"/>
    <xf numFmtId="0" fontId="6" fillId="0" borderId="0" xfId="0" applyFont="1" applyAlignment="1">
      <alignment vertical="top"/>
    </xf>
    <xf numFmtId="167" fontId="6" fillId="2" borderId="1" xfId="5" applyNumberFormat="1" applyFont="1" applyFill="1" applyBorder="1" applyAlignment="1">
      <alignment horizontal="right" vertical="top"/>
    </xf>
    <xf numFmtId="0" fontId="6" fillId="2" borderId="1" xfId="0" quotePrefix="1" applyFont="1" applyFill="1" applyBorder="1" applyAlignment="1">
      <alignment horizontal="right" vertical="top"/>
    </xf>
    <xf numFmtId="0" fontId="6" fillId="2" borderId="1" xfId="0" applyFont="1" applyFill="1" applyBorder="1" applyAlignment="1">
      <alignment horizontal="right" vertical="top"/>
    </xf>
    <xf numFmtId="0" fontId="6" fillId="2" borderId="1" xfId="0" quotePrefix="1" applyFont="1" applyFill="1" applyBorder="1" applyAlignment="1">
      <alignment horizontal="center" vertical="top"/>
    </xf>
    <xf numFmtId="0" fontId="0" fillId="2" borderId="4" xfId="0" applyFill="1" applyBorder="1" applyAlignment="1">
      <alignment vertical="top"/>
    </xf>
    <xf numFmtId="0" fontId="6" fillId="0" borderId="1" xfId="0" quotePrefix="1" applyFont="1" applyBorder="1" applyAlignment="1">
      <alignment horizontal="right" vertical="top"/>
    </xf>
    <xf numFmtId="0" fontId="0" fillId="0" borderId="1" xfId="0" applyBorder="1" applyAlignment="1">
      <alignment horizontal="right" vertical="top"/>
    </xf>
    <xf numFmtId="3" fontId="6" fillId="0" borderId="1" xfId="0" quotePrefix="1" applyNumberFormat="1" applyFont="1" applyBorder="1" applyAlignment="1">
      <alignment horizontal="left" vertical="top"/>
    </xf>
    <xf numFmtId="0" fontId="4" fillId="0" borderId="1" xfId="0" quotePrefix="1" applyFont="1" applyBorder="1" applyAlignment="1">
      <alignment horizontal="left"/>
    </xf>
    <xf numFmtId="10" fontId="4" fillId="0" borderId="1" xfId="6" applyNumberFormat="1" applyFont="1" applyBorder="1" applyAlignment="1">
      <alignment vertical="top"/>
    </xf>
    <xf numFmtId="0" fontId="4" fillId="0" borderId="0" xfId="0" applyFont="1"/>
    <xf numFmtId="167" fontId="0" fillId="0" borderId="0" xfId="5" applyNumberFormat="1" applyFont="1" applyAlignment="1">
      <alignment vertical="top"/>
    </xf>
    <xf numFmtId="0" fontId="6" fillId="0" borderId="0" xfId="0" applyFont="1" applyFill="1" applyAlignment="1">
      <alignment vertical="top" wrapText="1"/>
    </xf>
    <xf numFmtId="0" fontId="0" fillId="0" borderId="0" xfId="0" applyAlignment="1">
      <alignment vertical="top"/>
    </xf>
    <xf numFmtId="170" fontId="0" fillId="0" borderId="1" xfId="6" applyNumberFormat="1" applyFont="1" applyBorder="1" applyAlignment="1">
      <alignment vertical="top"/>
    </xf>
    <xf numFmtId="0" fontId="16" fillId="0" borderId="0" xfId="1" applyFont="1" applyFill="1" applyBorder="1" applyAlignment="1" applyProtection="1"/>
    <xf numFmtId="0" fontId="6" fillId="0" borderId="0" xfId="0" applyFont="1" applyAlignment="1">
      <alignment vertical="top"/>
    </xf>
    <xf numFmtId="0" fontId="6" fillId="0" borderId="0" xfId="0" applyFont="1"/>
    <xf numFmtId="167" fontId="6" fillId="0" borderId="0" xfId="5" applyNumberFormat="1" applyFont="1" applyAlignment="1">
      <alignment vertical="top"/>
    </xf>
    <xf numFmtId="0" fontId="4" fillId="2" borderId="1" xfId="0" applyFont="1" applyFill="1" applyBorder="1"/>
    <xf numFmtId="167" fontId="6" fillId="0" borderId="1" xfId="5" applyNumberFormat="1" applyFont="1" applyBorder="1"/>
    <xf numFmtId="0" fontId="16" fillId="0" borderId="0" xfId="1" applyFont="1" applyFill="1" applyBorder="1" applyAlignment="1" applyProtection="1"/>
    <xf numFmtId="0" fontId="11" fillId="0" borderId="0" xfId="0" applyFont="1" applyAlignment="1">
      <alignment horizontal="left" vertical="top"/>
    </xf>
    <xf numFmtId="0" fontId="0" fillId="0" borderId="0" xfId="0" applyAlignment="1">
      <alignment vertical="top"/>
    </xf>
    <xf numFmtId="0" fontId="6" fillId="0" borderId="0" xfId="0" applyFont="1" applyAlignment="1">
      <alignment vertical="top"/>
    </xf>
    <xf numFmtId="0" fontId="6" fillId="2" borderId="1" xfId="0" applyFont="1" applyFill="1" applyBorder="1" applyAlignment="1">
      <alignment horizontal="right" vertical="top"/>
    </xf>
    <xf numFmtId="0" fontId="6" fillId="0" borderId="0" xfId="0" applyFont="1" applyAlignment="1">
      <alignment horizontal="right"/>
    </xf>
    <xf numFmtId="1" fontId="6" fillId="0" borderId="0" xfId="5" applyNumberFormat="1" applyFont="1" applyAlignment="1">
      <alignment horizontal="right"/>
    </xf>
    <xf numFmtId="0" fontId="0" fillId="0" borderId="0" xfId="0" applyAlignment="1">
      <alignment vertical="top"/>
    </xf>
    <xf numFmtId="0" fontId="6" fillId="0" borderId="0" xfId="0" applyFont="1" applyAlignment="1">
      <alignment vertical="top"/>
    </xf>
    <xf numFmtId="0" fontId="0" fillId="0" borderId="1" xfId="0" applyBorder="1" applyAlignment="1">
      <alignment vertical="top"/>
    </xf>
    <xf numFmtId="0" fontId="23" fillId="0" borderId="0" xfId="0" applyFont="1"/>
    <xf numFmtId="169" fontId="23" fillId="0" borderId="0" xfId="5" applyNumberFormat="1" applyFont="1"/>
    <xf numFmtId="0" fontId="5" fillId="0" borderId="0" xfId="0" applyFont="1" applyAlignment="1">
      <alignment vertical="top"/>
    </xf>
    <xf numFmtId="167" fontId="5" fillId="0" borderId="0" xfId="5" applyNumberFormat="1" applyFont="1" applyAlignment="1">
      <alignment vertical="top"/>
    </xf>
    <xf numFmtId="0" fontId="5" fillId="0" borderId="0" xfId="0" quotePrefix="1" applyFont="1" applyAlignment="1">
      <alignment vertical="top"/>
    </xf>
    <xf numFmtId="168" fontId="5" fillId="0" borderId="0" xfId="6" applyNumberFormat="1" applyFont="1" applyAlignment="1">
      <alignment vertical="top"/>
    </xf>
    <xf numFmtId="169" fontId="5" fillId="0" borderId="0" xfId="5" applyNumberFormat="1" applyFont="1" applyBorder="1"/>
    <xf numFmtId="171" fontId="6" fillId="0" borderId="1" xfId="5" applyNumberFormat="1" applyFont="1" applyBorder="1"/>
    <xf numFmtId="0" fontId="6" fillId="2" borderId="1" xfId="0" applyFont="1" applyFill="1" applyBorder="1" applyAlignment="1">
      <alignment horizontal="right" vertical="top"/>
    </xf>
    <xf numFmtId="0" fontId="16" fillId="0" borderId="0" xfId="1" applyFont="1" applyFill="1" applyBorder="1" applyAlignment="1" applyProtection="1"/>
    <xf numFmtId="0" fontId="16" fillId="0" borderId="0" xfId="1" applyFont="1" applyFill="1" applyBorder="1" applyAlignment="1" applyProtection="1">
      <alignment wrapText="1"/>
    </xf>
    <xf numFmtId="0" fontId="11" fillId="0" borderId="0" xfId="0" applyFont="1" applyAlignment="1">
      <alignment horizontal="left" vertical="top"/>
    </xf>
    <xf numFmtId="0" fontId="0" fillId="0" borderId="0" xfId="0" applyAlignment="1">
      <alignment vertical="top"/>
    </xf>
    <xf numFmtId="0" fontId="6" fillId="0" borderId="0" xfId="0" applyFont="1" applyAlignment="1">
      <alignment vertical="top"/>
    </xf>
    <xf numFmtId="0" fontId="6" fillId="2" borderId="1" xfId="0" applyFont="1" applyFill="1" applyBorder="1" applyAlignment="1">
      <alignment horizontal="right" vertical="top"/>
    </xf>
    <xf numFmtId="166" fontId="6" fillId="0" borderId="0" xfId="5" applyNumberFormat="1" applyFont="1"/>
    <xf numFmtId="167" fontId="6" fillId="0" borderId="0" xfId="5" applyNumberFormat="1" applyFont="1"/>
    <xf numFmtId="0" fontId="5" fillId="0" borderId="0" xfId="0" applyFont="1" applyBorder="1" applyAlignment="1">
      <alignment vertical="top"/>
    </xf>
    <xf numFmtId="164" fontId="5" fillId="2" borderId="0" xfId="0" applyNumberFormat="1" applyFont="1" applyFill="1" applyBorder="1" applyAlignment="1">
      <alignment horizontal="center" vertical="top"/>
    </xf>
    <xf numFmtId="0" fontId="5" fillId="2" borderId="0" xfId="0" applyFont="1" applyFill="1" applyBorder="1" applyAlignment="1">
      <alignment horizontal="center" vertical="top"/>
    </xf>
    <xf numFmtId="0" fontId="5" fillId="2" borderId="0" xfId="0" applyFont="1" applyFill="1" applyBorder="1" applyAlignment="1">
      <alignment horizontal="center" vertical="top" wrapText="1"/>
    </xf>
    <xf numFmtId="0" fontId="0" fillId="0" borderId="0" xfId="0" applyAlignment="1">
      <alignment vertical="top"/>
    </xf>
    <xf numFmtId="0" fontId="0" fillId="0" borderId="1" xfId="0" applyBorder="1" applyAlignment="1">
      <alignment vertical="top"/>
    </xf>
    <xf numFmtId="167" fontId="6" fillId="0" borderId="0" xfId="5" applyNumberFormat="1" applyFont="1" applyBorder="1" applyAlignment="1">
      <alignment vertical="top"/>
    </xf>
    <xf numFmtId="167" fontId="0" fillId="0" borderId="11" xfId="5" applyNumberFormat="1" applyFont="1" applyBorder="1"/>
    <xf numFmtId="0" fontId="0" fillId="0" borderId="0" xfId="0" applyAlignment="1">
      <alignment vertical="top"/>
    </xf>
    <xf numFmtId="0" fontId="0" fillId="0" borderId="1" xfId="0" applyBorder="1" applyAlignment="1">
      <alignment vertical="top"/>
    </xf>
    <xf numFmtId="167" fontId="0" fillId="0" borderId="0" xfId="0" applyNumberFormat="1" applyAlignment="1">
      <alignment vertical="top"/>
    </xf>
    <xf numFmtId="167" fontId="6" fillId="0" borderId="0" xfId="0" applyNumberFormat="1" applyFont="1" applyAlignment="1">
      <alignment vertical="top"/>
    </xf>
    <xf numFmtId="0" fontId="6" fillId="0" borderId="0" xfId="7"/>
    <xf numFmtId="10" fontId="0" fillId="0" borderId="1" xfId="5" applyNumberFormat="1" applyFont="1" applyBorder="1" applyAlignment="1">
      <alignment vertical="top"/>
    </xf>
    <xf numFmtId="0" fontId="0" fillId="0" borderId="0" xfId="0"/>
    <xf numFmtId="167" fontId="6" fillId="0" borderId="2" xfId="5" applyNumberFormat="1" applyFont="1" applyBorder="1"/>
    <xf numFmtId="0" fontId="6" fillId="0" borderId="0" xfId="10"/>
    <xf numFmtId="0" fontId="24" fillId="0" borderId="0" xfId="0" applyFont="1" applyAlignment="1">
      <alignment vertical="top" wrapText="1"/>
    </xf>
    <xf numFmtId="0" fontId="6" fillId="2" borderId="1" xfId="0" applyFont="1" applyFill="1" applyBorder="1" applyAlignment="1">
      <alignment horizontal="center" vertical="top"/>
    </xf>
    <xf numFmtId="166" fontId="5" fillId="0" borderId="0" xfId="0" applyNumberFormat="1" applyFont="1" applyAlignment="1">
      <alignment vertical="top"/>
    </xf>
    <xf numFmtId="0" fontId="6" fillId="2" borderId="1" xfId="0" applyFont="1" applyFill="1" applyBorder="1" applyAlignment="1">
      <alignment horizontal="center"/>
    </xf>
    <xf numFmtId="0" fontId="0" fillId="0" borderId="0" xfId="0" applyAlignment="1">
      <alignment vertical="top"/>
    </xf>
    <xf numFmtId="0" fontId="6" fillId="2" borderId="1" xfId="0" applyFont="1" applyFill="1" applyBorder="1" applyAlignment="1">
      <alignment horizontal="right" vertical="top"/>
    </xf>
    <xf numFmtId="0" fontId="6" fillId="0" borderId="0" xfId="0" applyFont="1" applyAlignment="1">
      <alignment vertical="top" wrapText="1"/>
    </xf>
    <xf numFmtId="168" fontId="6" fillId="0" borderId="0" xfId="6" applyNumberFormat="1" applyFont="1"/>
    <xf numFmtId="0" fontId="0" fillId="0" borderId="0" xfId="0" applyAlignment="1">
      <alignment vertical="top"/>
    </xf>
    <xf numFmtId="0" fontId="0" fillId="0" borderId="0" xfId="0" applyAlignment="1">
      <alignment vertical="top"/>
    </xf>
    <xf numFmtId="0" fontId="20" fillId="0" borderId="0" xfId="3" applyFont="1" applyAlignment="1">
      <alignment vertical="top"/>
    </xf>
    <xf numFmtId="0" fontId="6" fillId="2" borderId="1" xfId="0" applyFont="1" applyFill="1" applyBorder="1" applyAlignment="1">
      <alignment horizontal="right" vertical="top"/>
    </xf>
    <xf numFmtId="0" fontId="6"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1" xfId="0" applyFont="1" applyFill="1" applyBorder="1" applyAlignment="1">
      <alignment horizontal="left" vertical="top" wrapText="1" indent="1"/>
    </xf>
    <xf numFmtId="164" fontId="6" fillId="2" borderId="1" xfId="0" applyNumberFormat="1" applyFont="1" applyFill="1" applyBorder="1" applyAlignment="1">
      <alignment horizontal="right" vertical="top"/>
    </xf>
    <xf numFmtId="0" fontId="6" fillId="2" borderId="10" xfId="0" applyFont="1" applyFill="1" applyBorder="1" applyAlignment="1">
      <alignment horizontal="right" vertical="top" wrapText="1"/>
    </xf>
    <xf numFmtId="0" fontId="6" fillId="2" borderId="8" xfId="0" applyFont="1" applyFill="1" applyBorder="1" applyAlignment="1">
      <alignment horizontal="right" vertical="top" wrapText="1"/>
    </xf>
    <xf numFmtId="0" fontId="6" fillId="2" borderId="1" xfId="0" applyFont="1" applyFill="1" applyBorder="1" applyAlignment="1">
      <alignment horizontal="left" wrapText="1"/>
    </xf>
    <xf numFmtId="167" fontId="4" fillId="0" borderId="1" xfId="5" applyNumberFormat="1" applyFont="1" applyBorder="1" applyAlignment="1">
      <alignment horizontal="right" vertical="top"/>
    </xf>
    <xf numFmtId="0" fontId="11" fillId="0" borderId="0" xfId="0" applyFont="1" applyAlignment="1">
      <alignment horizontal="left" vertical="top"/>
    </xf>
    <xf numFmtId="0" fontId="0" fillId="0" borderId="0" xfId="0" applyAlignment="1">
      <alignment horizontal="left" vertical="top"/>
    </xf>
    <xf numFmtId="0" fontId="11" fillId="0" borderId="0" xfId="0" applyFont="1" applyAlignment="1">
      <alignment vertical="top"/>
    </xf>
    <xf numFmtId="0" fontId="0" fillId="0" borderId="0" xfId="0" applyAlignment="1">
      <alignment vertical="top"/>
    </xf>
    <xf numFmtId="0" fontId="0" fillId="0" borderId="0" xfId="0" applyAlignment="1">
      <alignment vertical="top"/>
    </xf>
    <xf numFmtId="0" fontId="0" fillId="0" borderId="1" xfId="0" applyBorder="1" applyAlignment="1">
      <alignment vertical="top"/>
    </xf>
    <xf numFmtId="0" fontId="0" fillId="0" borderId="9" xfId="0" applyBorder="1" applyAlignment="1">
      <alignment vertical="top"/>
    </xf>
    <xf numFmtId="0" fontId="6" fillId="0" borderId="0" xfId="0" applyFont="1" applyAlignment="1">
      <alignment vertical="top"/>
    </xf>
    <xf numFmtId="170" fontId="6" fillId="0" borderId="1" xfId="6" applyNumberFormat="1" applyFont="1" applyBorder="1" applyAlignment="1">
      <alignment vertical="top"/>
    </xf>
    <xf numFmtId="0" fontId="0" fillId="0" borderId="0" xfId="0" applyAlignment="1">
      <alignment vertical="top"/>
    </xf>
    <xf numFmtId="0" fontId="11" fillId="0" borderId="0" xfId="0" applyFont="1" applyAlignment="1">
      <alignment horizontal="left" vertical="top"/>
    </xf>
    <xf numFmtId="0" fontId="0" fillId="0" borderId="0" xfId="0" applyAlignment="1">
      <alignment vertical="top"/>
    </xf>
    <xf numFmtId="0" fontId="20" fillId="0" borderId="0" xfId="3" applyFont="1" applyAlignment="1">
      <alignment vertical="top"/>
    </xf>
    <xf numFmtId="0" fontId="0" fillId="0" borderId="0" xfId="0" applyAlignment="1">
      <alignment vertical="top"/>
    </xf>
    <xf numFmtId="0" fontId="6" fillId="0" borderId="0" xfId="0" applyFont="1" applyAlignment="1">
      <alignment vertical="top"/>
    </xf>
    <xf numFmtId="0" fontId="0" fillId="0" borderId="1" xfId="0" applyBorder="1" applyAlignment="1">
      <alignment vertical="top"/>
    </xf>
    <xf numFmtId="0" fontId="0" fillId="0" borderId="0" xfId="0" applyAlignment="1">
      <alignment vertical="top"/>
    </xf>
    <xf numFmtId="0" fontId="0" fillId="0" borderId="1" xfId="0" applyBorder="1" applyAlignment="1">
      <alignment vertical="top"/>
    </xf>
    <xf numFmtId="167" fontId="6" fillId="0" borderId="0" xfId="5" applyNumberFormat="1" applyFont="1" applyBorder="1"/>
    <xf numFmtId="0" fontId="6" fillId="0" borderId="0" xfId="0" applyFont="1" applyAlignment="1">
      <alignment vertical="top"/>
    </xf>
    <xf numFmtId="167" fontId="6" fillId="2" borderId="4" xfId="5" applyNumberFormat="1" applyFont="1" applyFill="1" applyBorder="1" applyAlignment="1">
      <alignment vertical="top"/>
    </xf>
    <xf numFmtId="167" fontId="6" fillId="0" borderId="1" xfId="5" applyNumberFormat="1" applyFont="1" applyBorder="1" applyAlignment="1">
      <alignment horizontal="right" vertical="top"/>
    </xf>
    <xf numFmtId="0" fontId="6" fillId="0" borderId="0" xfId="0" applyFont="1" applyAlignment="1">
      <alignment vertical="top"/>
    </xf>
    <xf numFmtId="168" fontId="6" fillId="0" borderId="1" xfId="6" applyNumberFormat="1" applyFont="1" applyBorder="1" applyAlignment="1">
      <alignment vertical="top"/>
    </xf>
    <xf numFmtId="167" fontId="6" fillId="0" borderId="1" xfId="0" applyNumberFormat="1" applyFont="1" applyBorder="1" applyAlignment="1">
      <alignment vertical="top"/>
    </xf>
    <xf numFmtId="43" fontId="6" fillId="0" borderId="1" xfId="5" applyFont="1" applyBorder="1" applyAlignment="1">
      <alignment vertical="top"/>
    </xf>
    <xf numFmtId="10" fontId="6" fillId="0" borderId="1" xfId="6" applyNumberFormat="1" applyFont="1" applyBorder="1" applyAlignment="1">
      <alignment vertical="top"/>
    </xf>
    <xf numFmtId="167" fontId="6" fillId="0" borderId="1" xfId="5" applyNumberFormat="1" applyFont="1" applyFill="1" applyBorder="1" applyAlignment="1">
      <alignment vertical="top"/>
    </xf>
    <xf numFmtId="168" fontId="6" fillId="0" borderId="1" xfId="6" applyNumberFormat="1" applyFont="1" applyBorder="1"/>
    <xf numFmtId="43" fontId="6" fillId="0" borderId="1" xfId="5" applyFont="1" applyBorder="1"/>
    <xf numFmtId="10" fontId="6" fillId="0" borderId="1" xfId="6" applyNumberFormat="1" applyFont="1" applyBorder="1"/>
    <xf numFmtId="0" fontId="6" fillId="0" borderId="0" xfId="0" applyFont="1" applyAlignment="1">
      <alignment vertical="top"/>
    </xf>
    <xf numFmtId="0" fontId="4" fillId="0" borderId="1" xfId="0" applyFont="1" applyBorder="1"/>
    <xf numFmtId="167" fontId="6" fillId="0" borderId="1" xfId="5" quotePrefix="1" applyNumberFormat="1" applyFont="1" applyBorder="1" applyAlignment="1">
      <alignment horizontal="right" vertical="top"/>
    </xf>
    <xf numFmtId="0" fontId="0" fillId="0" borderId="1" xfId="0" applyBorder="1"/>
    <xf numFmtId="0" fontId="8" fillId="3" borderId="0" xfId="0" applyFont="1" applyFill="1" applyAlignment="1">
      <alignment vertical="top"/>
    </xf>
    <xf numFmtId="49" fontId="8" fillId="3" borderId="0" xfId="0" applyNumberFormat="1" applyFont="1" applyFill="1" applyAlignment="1">
      <alignment vertical="top"/>
    </xf>
    <xf numFmtId="167" fontId="4" fillId="0" borderId="1" xfId="5" applyNumberFormat="1" applyFont="1" applyBorder="1"/>
    <xf numFmtId="166" fontId="4" fillId="0" borderId="1" xfId="5" applyNumberFormat="1" applyFont="1" applyBorder="1"/>
    <xf numFmtId="167" fontId="6" fillId="0" borderId="1" xfId="5" quotePrefix="1" applyNumberFormat="1" applyFont="1" applyBorder="1" applyAlignment="1">
      <alignment horizontal="right"/>
    </xf>
    <xf numFmtId="0" fontId="6" fillId="0" borderId="1" xfId="10" applyBorder="1"/>
    <xf numFmtId="166" fontId="6" fillId="0" borderId="1" xfId="5" applyNumberFormat="1" applyFont="1" applyBorder="1"/>
    <xf numFmtId="0" fontId="4" fillId="0" borderId="1" xfId="10" applyFont="1" applyBorder="1"/>
    <xf numFmtId="0" fontId="6" fillId="0" borderId="1" xfId="10" applyFont="1" applyBorder="1"/>
    <xf numFmtId="0" fontId="4" fillId="0" borderId="1" xfId="0" applyFont="1" applyBorder="1" applyAlignment="1">
      <alignment vertical="top"/>
    </xf>
    <xf numFmtId="0" fontId="6" fillId="0" borderId="1" xfId="0" applyFont="1" applyBorder="1"/>
    <xf numFmtId="0" fontId="6" fillId="0" borderId="1" xfId="0" applyFont="1" applyBorder="1" applyAlignment="1">
      <alignment horizontal="right"/>
    </xf>
    <xf numFmtId="0" fontId="6" fillId="0" borderId="1" xfId="0" applyFont="1" applyBorder="1" applyAlignment="1">
      <alignment horizontal="left"/>
    </xf>
    <xf numFmtId="0" fontId="6" fillId="2" borderId="1" xfId="0" applyFont="1" applyFill="1" applyBorder="1" applyAlignment="1">
      <alignment vertical="top"/>
    </xf>
    <xf numFmtId="169" fontId="4" fillId="0" borderId="1" xfId="0" applyNumberFormat="1" applyFont="1" applyBorder="1" applyAlignment="1">
      <alignment vertical="top"/>
    </xf>
    <xf numFmtId="0" fontId="6" fillId="0" borderId="1" xfId="0" quotePrefix="1" applyFont="1" applyBorder="1"/>
    <xf numFmtId="0" fontId="6" fillId="0" borderId="1" xfId="0" quotePrefix="1" applyFont="1" applyBorder="1" applyAlignment="1">
      <alignment horizontal="left"/>
    </xf>
    <xf numFmtId="166" fontId="4" fillId="0" borderId="1" xfId="0" applyNumberFormat="1" applyFont="1" applyBorder="1" applyAlignment="1">
      <alignment vertical="top"/>
    </xf>
    <xf numFmtId="0" fontId="6" fillId="0" borderId="1" xfId="0" applyFont="1" applyBorder="1" applyAlignment="1">
      <alignment horizontal="left" vertical="top"/>
    </xf>
    <xf numFmtId="0" fontId="6" fillId="0" borderId="1" xfId="0" applyFont="1" applyBorder="1" applyAlignment="1">
      <alignment vertical="top"/>
    </xf>
    <xf numFmtId="0" fontId="4" fillId="0" borderId="1" xfId="0" quotePrefix="1" applyFont="1" applyBorder="1" applyAlignment="1">
      <alignment horizontal="left"/>
    </xf>
    <xf numFmtId="167" fontId="4" fillId="0" borderId="1" xfId="0" applyNumberFormat="1" applyFont="1" applyBorder="1" applyAlignment="1">
      <alignment vertical="top"/>
    </xf>
    <xf numFmtId="168" fontId="4" fillId="0" borderId="1" xfId="0" applyNumberFormat="1" applyFont="1" applyBorder="1" applyAlignment="1">
      <alignment vertical="top"/>
    </xf>
    <xf numFmtId="0" fontId="6" fillId="0" borderId="0" xfId="0" applyFont="1"/>
    <xf numFmtId="167" fontId="23" fillId="0" borderId="0" xfId="9" applyNumberFormat="1" applyFont="1"/>
    <xf numFmtId="172" fontId="0" fillId="0" borderId="0" xfId="0" applyNumberFormat="1" applyAlignment="1">
      <alignment vertical="top"/>
    </xf>
    <xf numFmtId="0" fontId="6" fillId="3" borderId="0" xfId="0" applyFont="1" applyFill="1"/>
    <xf numFmtId="49" fontId="6" fillId="3" borderId="0" xfId="0" applyNumberFormat="1" applyFont="1" applyFill="1"/>
    <xf numFmtId="49" fontId="11" fillId="3" borderId="0" xfId="0" applyNumberFormat="1" applyFont="1" applyFill="1" applyAlignment="1">
      <alignment horizontal="left"/>
    </xf>
    <xf numFmtId="0" fontId="7" fillId="3" borderId="0" xfId="0" applyFont="1" applyFill="1" applyAlignment="1">
      <alignment horizontal="left" vertical="top"/>
    </xf>
    <xf numFmtId="49" fontId="6" fillId="3" borderId="0" xfId="0" applyNumberFormat="1" applyFont="1" applyFill="1" applyAlignment="1">
      <alignment horizontal="left"/>
    </xf>
    <xf numFmtId="0" fontId="6" fillId="3" borderId="0" xfId="0" applyFont="1" applyFill="1" applyAlignment="1">
      <alignment horizontal="left"/>
    </xf>
    <xf numFmtId="49" fontId="6" fillId="3" borderId="0" xfId="0" applyNumberFormat="1" applyFont="1" applyFill="1" applyAlignment="1">
      <alignment horizontal="right"/>
    </xf>
    <xf numFmtId="0" fontId="6" fillId="3" borderId="0" xfId="0" applyFont="1" applyFill="1" applyAlignment="1">
      <alignment horizontal="right"/>
    </xf>
    <xf numFmtId="165" fontId="0" fillId="3" borderId="0" xfId="0" applyNumberFormat="1" applyFont="1" applyFill="1" applyAlignment="1">
      <alignment horizontal="right"/>
    </xf>
    <xf numFmtId="0" fontId="16" fillId="3" borderId="0" xfId="1" applyFont="1" applyFill="1" applyAlignment="1" applyProtection="1">
      <alignment wrapText="1"/>
    </xf>
    <xf numFmtId="0" fontId="16" fillId="3" borderId="0" xfId="1" applyFont="1" applyFill="1" applyAlignment="1" applyProtection="1"/>
    <xf numFmtId="0" fontId="16" fillId="3" borderId="0" xfId="1" applyFont="1" applyFill="1" applyBorder="1" applyAlignment="1" applyProtection="1"/>
    <xf numFmtId="0" fontId="11" fillId="3" borderId="0" xfId="0" applyFont="1" applyFill="1" applyAlignment="1">
      <alignment horizontal="left"/>
    </xf>
    <xf numFmtId="0" fontId="0" fillId="0" borderId="0" xfId="0" applyAlignment="1">
      <alignment vertical="top"/>
    </xf>
    <xf numFmtId="49" fontId="6" fillId="0" borderId="0" xfId="0" quotePrefix="1" applyNumberFormat="1" applyFont="1" applyAlignment="1">
      <alignment horizontal="left" vertical="top" wrapText="1" indent="1"/>
    </xf>
    <xf numFmtId="166" fontId="6" fillId="0" borderId="1" xfId="5" applyNumberFormat="1" applyFont="1" applyBorder="1" applyAlignment="1">
      <alignment horizontal="right"/>
    </xf>
    <xf numFmtId="0" fontId="16" fillId="3" borderId="0" xfId="1" applyFont="1" applyFill="1" applyAlignment="1" applyProtection="1"/>
    <xf numFmtId="0" fontId="16" fillId="0" borderId="0" xfId="1" applyFont="1" applyFill="1" applyBorder="1" applyAlignment="1" applyProtection="1"/>
    <xf numFmtId="0" fontId="16" fillId="3" borderId="0" xfId="1" applyFont="1" applyFill="1" applyBorder="1" applyAlignment="1" applyProtection="1"/>
    <xf numFmtId="0" fontId="16" fillId="0" borderId="0" xfId="1" applyFont="1" applyFill="1" applyAlignment="1" applyProtection="1"/>
    <xf numFmtId="0" fontId="16" fillId="3" borderId="0" xfId="1" applyFont="1" applyFill="1" applyAlignment="1" applyProtection="1">
      <alignment wrapText="1"/>
    </xf>
    <xf numFmtId="0" fontId="18" fillId="3" borderId="0" xfId="1" applyFont="1" applyFill="1" applyAlignment="1" applyProtection="1">
      <alignment vertical="top"/>
    </xf>
    <xf numFmtId="0" fontId="16" fillId="0" borderId="0" xfId="1" applyFont="1" applyFill="1" applyAlignment="1" applyProtection="1">
      <alignment wrapText="1"/>
    </xf>
    <xf numFmtId="0" fontId="16" fillId="0" borderId="0" xfId="1" applyFont="1" applyFill="1" applyBorder="1" applyAlignment="1" applyProtection="1">
      <alignment wrapText="1"/>
    </xf>
    <xf numFmtId="0" fontId="6" fillId="2" borderId="5" xfId="0" applyFont="1" applyFill="1" applyBorder="1" applyAlignment="1">
      <alignment horizontal="center" vertical="top"/>
    </xf>
    <xf numFmtId="0" fontId="0" fillId="0" borderId="11" xfId="0" applyBorder="1" applyAlignment="1">
      <alignment horizontal="center" vertical="top"/>
    </xf>
    <xf numFmtId="0" fontId="0" fillId="0" borderId="11" xfId="0" applyBorder="1" applyAlignment="1">
      <alignment vertical="top"/>
    </xf>
    <xf numFmtId="0" fontId="6" fillId="2" borderId="2" xfId="0" applyFont="1" applyFill="1" applyBorder="1" applyAlignment="1">
      <alignment horizontal="right" vertical="top"/>
    </xf>
    <xf numFmtId="0" fontId="0" fillId="0" borderId="4" xfId="0" applyBorder="1" applyAlignment="1">
      <alignment horizontal="right" vertical="top"/>
    </xf>
    <xf numFmtId="0" fontId="6" fillId="2" borderId="2" xfId="0" applyFont="1" applyFill="1" applyBorder="1" applyAlignment="1">
      <alignment horizontal="left" vertical="top" wrapText="1"/>
    </xf>
    <xf numFmtId="0" fontId="0" fillId="0" borderId="4" xfId="0" applyBorder="1" applyAlignment="1">
      <alignment horizontal="left" vertical="top" wrapText="1"/>
    </xf>
    <xf numFmtId="0" fontId="6" fillId="2" borderId="2" xfId="0" applyFont="1" applyFill="1" applyBorder="1" applyAlignment="1">
      <alignment vertical="top" wrapText="1"/>
    </xf>
    <xf numFmtId="0" fontId="0" fillId="0" borderId="4" xfId="0" applyBorder="1" applyAlignment="1">
      <alignment vertical="top" wrapText="1"/>
    </xf>
    <xf numFmtId="0" fontId="6" fillId="2" borderId="8" xfId="0" applyFont="1" applyFill="1" applyBorder="1" applyAlignment="1">
      <alignment horizontal="center" vertical="top"/>
    </xf>
    <xf numFmtId="0" fontId="0" fillId="0" borderId="10" xfId="0" applyBorder="1" applyAlignment="1">
      <alignment horizontal="center" vertical="top"/>
    </xf>
    <xf numFmtId="0" fontId="6" fillId="2" borderId="1" xfId="3" applyFont="1" applyFill="1" applyBorder="1" applyAlignment="1">
      <alignment horizontal="center" vertical="top" wrapText="1"/>
    </xf>
    <xf numFmtId="0" fontId="0" fillId="0" borderId="1" xfId="0" applyBorder="1" applyAlignment="1">
      <alignment horizontal="center" vertical="top"/>
    </xf>
    <xf numFmtId="0" fontId="6" fillId="2" borderId="2" xfId="3" applyFont="1" applyFill="1" applyBorder="1" applyAlignment="1">
      <alignment horizontal="left" vertical="top" wrapText="1"/>
    </xf>
    <xf numFmtId="0" fontId="0" fillId="0" borderId="4" xfId="0" applyBorder="1" applyAlignment="1">
      <alignment horizontal="left" vertical="top"/>
    </xf>
    <xf numFmtId="0" fontId="0" fillId="0" borderId="1" xfId="0" applyBorder="1" applyAlignment="1">
      <alignment horizontal="center" vertical="top" wrapText="1"/>
    </xf>
    <xf numFmtId="0" fontId="6" fillId="2" borderId="10" xfId="3" applyFont="1" applyFill="1" applyBorder="1" applyAlignment="1">
      <alignment horizontal="center" vertical="top"/>
    </xf>
    <xf numFmtId="0" fontId="6" fillId="2" borderId="4" xfId="0" applyFont="1" applyFill="1" applyBorder="1" applyAlignment="1">
      <alignment vertical="top"/>
    </xf>
    <xf numFmtId="0" fontId="6" fillId="2" borderId="9" xfId="0" applyFont="1" applyFill="1" applyBorder="1" applyAlignment="1">
      <alignment horizontal="center" vertical="top"/>
    </xf>
    <xf numFmtId="0" fontId="0" fillId="0" borderId="9" xfId="0" applyBorder="1" applyAlignment="1">
      <alignment horizontal="center" vertical="top"/>
    </xf>
    <xf numFmtId="0" fontId="0" fillId="0" borderId="10" xfId="0" applyBorder="1" applyAlignment="1">
      <alignment vertical="top"/>
    </xf>
    <xf numFmtId="0" fontId="0" fillId="0" borderId="0" xfId="0" applyAlignment="1">
      <alignment vertical="top"/>
    </xf>
    <xf numFmtId="0" fontId="6" fillId="2" borderId="8" xfId="0" applyFont="1" applyFill="1" applyBorder="1" applyAlignment="1">
      <alignment horizontal="center" vertical="center"/>
    </xf>
    <xf numFmtId="0" fontId="6" fillId="0" borderId="9" xfId="0" applyFont="1" applyBorder="1" applyAlignment="1"/>
    <xf numFmtId="0" fontId="6" fillId="0" borderId="10" xfId="0" applyFont="1" applyBorder="1" applyAlignment="1"/>
    <xf numFmtId="0" fontId="6" fillId="2" borderId="1" xfId="0" applyFont="1" applyFill="1" applyBorder="1" applyAlignment="1">
      <alignment horizontal="center" vertical="center"/>
    </xf>
    <xf numFmtId="0" fontId="6" fillId="0" borderId="1" xfId="0" applyFont="1" applyBorder="1" applyAlignment="1"/>
    <xf numFmtId="0" fontId="8" fillId="0" borderId="0" xfId="0" applyFont="1" applyAlignment="1">
      <alignment vertical="top" wrapText="1"/>
    </xf>
    <xf numFmtId="0" fontId="6" fillId="0" borderId="0" xfId="0" applyFont="1" applyAlignment="1">
      <alignment vertical="top"/>
    </xf>
    <xf numFmtId="0" fontId="20" fillId="0" borderId="0" xfId="3" applyFont="1" applyAlignment="1">
      <alignment vertical="top"/>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 xfId="0" applyFont="1" applyFill="1" applyBorder="1" applyAlignment="1">
      <alignment horizontal="right" vertical="top"/>
    </xf>
    <xf numFmtId="0" fontId="0" fillId="0" borderId="1" xfId="0" applyBorder="1" applyAlignment="1">
      <alignment vertical="top"/>
    </xf>
    <xf numFmtId="0" fontId="0" fillId="0" borderId="4" xfId="0" applyBorder="1" applyAlignment="1">
      <alignment vertical="top"/>
    </xf>
    <xf numFmtId="0" fontId="6" fillId="2" borderId="1" xfId="0" applyFont="1" applyFill="1" applyBorder="1" applyAlignment="1">
      <alignment horizontal="center" vertical="top"/>
    </xf>
    <xf numFmtId="0" fontId="0" fillId="2" borderId="1" xfId="0" applyFill="1" applyBorder="1" applyAlignment="1">
      <alignment horizontal="center" vertical="top"/>
    </xf>
    <xf numFmtId="0" fontId="6" fillId="2" borderId="1" xfId="0" applyFont="1" applyFill="1" applyBorder="1" applyAlignment="1">
      <alignment horizontal="left" vertical="top" wrapText="1"/>
    </xf>
    <xf numFmtId="0" fontId="0" fillId="0" borderId="1" xfId="0" applyBorder="1" applyAlignment="1">
      <alignment horizontal="left" vertical="top"/>
    </xf>
    <xf numFmtId="0" fontId="6" fillId="2" borderId="1" xfId="0" quotePrefix="1" applyFont="1" applyFill="1" applyBorder="1" applyAlignment="1">
      <alignment horizontal="right" vertical="top" wrapText="1"/>
    </xf>
    <xf numFmtId="0" fontId="6" fillId="2" borderId="8" xfId="0" applyFont="1" applyFill="1" applyBorder="1" applyAlignment="1">
      <alignment horizontal="center" vertical="top" wrapText="1"/>
    </xf>
    <xf numFmtId="0" fontId="0" fillId="2" borderId="10" xfId="0" applyFill="1" applyBorder="1" applyAlignment="1">
      <alignment horizontal="center" vertical="top" wrapText="1"/>
    </xf>
    <xf numFmtId="0" fontId="0" fillId="0" borderId="10" xfId="0" applyBorder="1" applyAlignment="1">
      <alignment vertical="top" wrapText="1"/>
    </xf>
    <xf numFmtId="0" fontId="0" fillId="0" borderId="3" xfId="0" applyBorder="1" applyAlignment="1">
      <alignment vertical="top"/>
    </xf>
    <xf numFmtId="0" fontId="6" fillId="2" borderId="2" xfId="0" applyFont="1" applyFill="1" applyBorder="1" applyAlignment="1">
      <alignment horizontal="center" vertical="top" wrapText="1"/>
    </xf>
    <xf numFmtId="0" fontId="0" fillId="0" borderId="3" xfId="0" applyBorder="1" applyAlignment="1">
      <alignment horizontal="center" vertical="top"/>
    </xf>
    <xf numFmtId="0" fontId="0" fillId="0" borderId="4" xfId="0" applyBorder="1" applyAlignment="1">
      <alignment horizontal="center" vertical="top"/>
    </xf>
    <xf numFmtId="0" fontId="0" fillId="0" borderId="9" xfId="0" applyBorder="1" applyAlignment="1">
      <alignment vertical="top"/>
    </xf>
    <xf numFmtId="0" fontId="0" fillId="0" borderId="10" xfId="0" applyBorder="1" applyAlignment="1">
      <alignment horizontal="center" vertical="top" wrapText="1"/>
    </xf>
    <xf numFmtId="0" fontId="0" fillId="0" borderId="9" xfId="0" applyBorder="1" applyAlignment="1">
      <alignment horizontal="center" vertical="top" wrapText="1"/>
    </xf>
    <xf numFmtId="0" fontId="6" fillId="2" borderId="10" xfId="3" quotePrefix="1" applyFont="1" applyFill="1" applyBorder="1" applyAlignment="1">
      <alignment horizontal="center" vertical="top"/>
    </xf>
    <xf numFmtId="0" fontId="6" fillId="2" borderId="1" xfId="3" quotePrefix="1" applyFont="1" applyFill="1" applyBorder="1" applyAlignment="1">
      <alignment horizontal="center" vertical="top" wrapText="1"/>
    </xf>
    <xf numFmtId="3" fontId="0" fillId="2" borderId="1" xfId="0" applyNumberFormat="1" applyFill="1" applyBorder="1" applyAlignment="1">
      <alignment horizontal="center" vertical="top"/>
    </xf>
    <xf numFmtId="164" fontId="6" fillId="2" borderId="1" xfId="0" applyNumberFormat="1" applyFont="1" applyFill="1" applyBorder="1" applyAlignment="1">
      <alignment horizontal="center" vertical="top" wrapText="1"/>
    </xf>
    <xf numFmtId="164" fontId="0" fillId="2" borderId="1" xfId="0" applyNumberFormat="1" applyFill="1" applyBorder="1" applyAlignment="1">
      <alignment horizontal="center" vertical="top"/>
    </xf>
    <xf numFmtId="3" fontId="6" fillId="2" borderId="1" xfId="0" applyNumberFormat="1" applyFont="1" applyFill="1" applyBorder="1" applyAlignment="1">
      <alignment horizontal="center" vertical="top"/>
    </xf>
    <xf numFmtId="0" fontId="6" fillId="2" borderId="1" xfId="0" applyFont="1" applyFill="1" applyBorder="1" applyAlignment="1">
      <alignment horizontal="center" vertical="top" wrapText="1"/>
    </xf>
    <xf numFmtId="0" fontId="0" fillId="2" borderId="1" xfId="0" applyFill="1" applyBorder="1" applyAlignment="1">
      <alignment horizontal="center" vertical="top" wrapText="1"/>
    </xf>
    <xf numFmtId="0" fontId="6" fillId="2" borderId="5" xfId="0" applyFont="1" applyFill="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vertical="top"/>
    </xf>
    <xf numFmtId="0" fontId="0" fillId="0" borderId="7" xfId="0" applyBorder="1" applyAlignment="1">
      <alignment vertical="top"/>
    </xf>
    <xf numFmtId="0" fontId="0" fillId="0" borderId="6" xfId="0" applyBorder="1" applyAlignment="1">
      <alignment vertical="top"/>
    </xf>
    <xf numFmtId="0" fontId="0" fillId="0" borderId="13" xfId="0" applyBorder="1" applyAlignment="1">
      <alignment vertical="top"/>
    </xf>
    <xf numFmtId="0" fontId="20" fillId="0" borderId="0" xfId="3" applyFont="1" applyAlignment="1">
      <alignment vertical="top" wrapText="1"/>
    </xf>
    <xf numFmtId="0" fontId="0" fillId="0" borderId="0" xfId="0" applyAlignment="1">
      <alignment vertical="top" wrapText="1"/>
    </xf>
    <xf numFmtId="0" fontId="0" fillId="0" borderId="9" xfId="0" applyBorder="1" applyAlignment="1"/>
    <xf numFmtId="0" fontId="0" fillId="0" borderId="10" xfId="0" applyBorder="1" applyAlignment="1"/>
    <xf numFmtId="0" fontId="4" fillId="2" borderId="8" xfId="0" applyFont="1" applyFill="1" applyBorder="1" applyAlignment="1">
      <alignment horizontal="center" vertical="center"/>
    </xf>
    <xf numFmtId="0" fontId="8" fillId="0" borderId="0" xfId="3" applyFont="1" applyAlignment="1">
      <alignment vertical="top" wrapText="1"/>
    </xf>
    <xf numFmtId="0" fontId="6" fillId="0" borderId="0" xfId="0" applyFont="1" applyAlignment="1">
      <alignment wrapText="1"/>
    </xf>
    <xf numFmtId="0" fontId="6" fillId="2" borderId="6" xfId="0" applyFont="1" applyFill="1" applyBorder="1" applyAlignment="1">
      <alignment horizontal="center" vertical="top" wrapText="1"/>
    </xf>
    <xf numFmtId="0" fontId="6" fillId="2" borderId="12" xfId="0" applyFont="1" applyFill="1" applyBorder="1" applyAlignment="1">
      <alignment horizontal="center" vertical="top" wrapText="1"/>
    </xf>
    <xf numFmtId="0" fontId="6" fillId="2" borderId="13" xfId="0" applyFont="1" applyFill="1" applyBorder="1" applyAlignment="1">
      <alignment horizontal="center" vertical="top" wrapText="1"/>
    </xf>
    <xf numFmtId="0" fontId="0" fillId="0" borderId="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6" xfId="0" applyBorder="1" applyAlignment="1">
      <alignment horizontal="center" vertical="top"/>
    </xf>
    <xf numFmtId="0" fontId="6" fillId="2" borderId="8" xfId="0" applyFont="1" applyFill="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6" fillId="0" borderId="0" xfId="0" applyFont="1" applyAlignment="1">
      <alignment horizontal="left" vertical="top" wrapText="1"/>
    </xf>
    <xf numFmtId="0" fontId="6" fillId="0" borderId="0" xfId="0" applyFont="1" applyAlignment="1">
      <alignment vertical="top" wrapText="1"/>
    </xf>
    <xf numFmtId="0" fontId="6" fillId="2" borderId="8" xfId="3" applyFont="1" applyFill="1" applyBorder="1" applyAlignment="1">
      <alignment horizontal="center" vertical="top" wrapText="1"/>
    </xf>
    <xf numFmtId="0" fontId="0" fillId="2" borderId="9" xfId="0" applyFill="1" applyBorder="1" applyAlignment="1">
      <alignment horizontal="center" vertical="top"/>
    </xf>
    <xf numFmtId="0" fontId="0" fillId="2" borderId="10" xfId="0" applyFill="1" applyBorder="1" applyAlignment="1">
      <alignment horizontal="center" vertical="top"/>
    </xf>
    <xf numFmtId="0" fontId="6" fillId="2" borderId="2" xfId="3" applyFont="1" applyFill="1" applyBorder="1" applyAlignment="1">
      <alignment horizontal="right" vertical="top" wrapText="1"/>
    </xf>
    <xf numFmtId="0" fontId="6" fillId="0" borderId="4" xfId="0" applyFont="1" applyBorder="1" applyAlignment="1">
      <alignment horizontal="right" vertical="top"/>
    </xf>
    <xf numFmtId="0" fontId="6" fillId="0" borderId="0" xfId="10" applyAlignment="1">
      <alignment horizontal="left" vertical="top" wrapText="1"/>
    </xf>
    <xf numFmtId="0" fontId="26" fillId="0" borderId="0" xfId="57" applyAlignment="1">
      <alignment horizontal="left"/>
    </xf>
  </cellXfs>
  <cellStyles count="63">
    <cellStyle name="20 % - Akzent1" xfId="32" builtinId="30" customBuiltin="1"/>
    <cellStyle name="20 % - Akzent2" xfId="36" builtinId="34" customBuiltin="1"/>
    <cellStyle name="20 % - Akzent3" xfId="40" builtinId="38" customBuiltin="1"/>
    <cellStyle name="20 % - Akzent4" xfId="44" builtinId="42" customBuiltin="1"/>
    <cellStyle name="20 % - Akzent5" xfId="48" builtinId="46" customBuiltin="1"/>
    <cellStyle name="20 % - Akzent6" xfId="52" builtinId="50" customBuiltin="1"/>
    <cellStyle name="40 % - Akzent1" xfId="33" builtinId="31" customBuiltin="1"/>
    <cellStyle name="40 % - Akzent2" xfId="37" builtinId="35" customBuiltin="1"/>
    <cellStyle name="40 % - Akzent3" xfId="41" builtinId="39" customBuiltin="1"/>
    <cellStyle name="40 % - Akzent4" xfId="45" builtinId="43" customBuiltin="1"/>
    <cellStyle name="40 % - Akzent5" xfId="49" builtinId="47" customBuiltin="1"/>
    <cellStyle name="40 % - Akzent6" xfId="53" builtinId="51" customBuiltin="1"/>
    <cellStyle name="60 % - Akzent1" xfId="34" builtinId="32" customBuiltin="1"/>
    <cellStyle name="60 % - Akzent2" xfId="38" builtinId="36" customBuiltin="1"/>
    <cellStyle name="60 % - Akzent3" xfId="42" builtinId="40" customBuiltin="1"/>
    <cellStyle name="60 % - Akzent4" xfId="46" builtinId="44" customBuiltin="1"/>
    <cellStyle name="60 % - Akzent5" xfId="50" builtinId="48" customBuiltin="1"/>
    <cellStyle name="60 % - Akzent6" xfId="54" builtinId="52" customBuiltin="1"/>
    <cellStyle name="Akzent1" xfId="31" builtinId="29" customBuiltin="1"/>
    <cellStyle name="Akzent2" xfId="35" builtinId="33" customBuiltin="1"/>
    <cellStyle name="Akzent3" xfId="39" builtinId="37" customBuiltin="1"/>
    <cellStyle name="Akzent4" xfId="43" builtinId="41" customBuiltin="1"/>
    <cellStyle name="Akzent5" xfId="47" builtinId="45" customBuiltin="1"/>
    <cellStyle name="Akzent6" xfId="51" builtinId="49" customBuiltin="1"/>
    <cellStyle name="Ausgabe" xfId="24" builtinId="21" customBuiltin="1"/>
    <cellStyle name="Berechnung" xfId="25" builtinId="22" customBuiltin="1"/>
    <cellStyle name="Eingabe" xfId="23" builtinId="20" customBuiltin="1"/>
    <cellStyle name="Ergebnis" xfId="30" builtinId="25" customBuiltin="1"/>
    <cellStyle name="Erklärender Text" xfId="29" builtinId="53" customBuiltin="1"/>
    <cellStyle name="Gut" xfId="20" builtinId="26" customBuiltin="1"/>
    <cellStyle name="Hyperlink 2" xfId="2"/>
    <cellStyle name="Komma" xfId="5" builtinId="3"/>
    <cellStyle name="Komma 2" xfId="9"/>
    <cellStyle name="Komma 2 2" xfId="60"/>
    <cellStyle name="Komma 3" xfId="13"/>
    <cellStyle name="Link" xfId="1" builtinId="8"/>
    <cellStyle name="Link 2" xfId="58"/>
    <cellStyle name="Neutral" xfId="22" builtinId="28" customBuiltin="1"/>
    <cellStyle name="Notiz 2" xfId="62"/>
    <cellStyle name="Notiz 3" xfId="56"/>
    <cellStyle name="Prozent" xfId="6" builtinId="5"/>
    <cellStyle name="Prozent 2" xfId="14"/>
    <cellStyle name="Schlecht" xfId="21" builtinId="27" customBuiltin="1"/>
    <cellStyle name="Standard" xfId="0" builtinId="0"/>
    <cellStyle name="Standard 2" xfId="3"/>
    <cellStyle name="Standard 2 2" xfId="10"/>
    <cellStyle name="Standard 2 3" xfId="11"/>
    <cellStyle name="Standard 2 4" xfId="59"/>
    <cellStyle name="Standard 3" xfId="4"/>
    <cellStyle name="Standard 3 2" xfId="12"/>
    <cellStyle name="Standard 4" xfId="7"/>
    <cellStyle name="Standard 4 2" xfId="61"/>
    <cellStyle name="Standard 5" xfId="8"/>
    <cellStyle name="Standard 5 2" xfId="57"/>
    <cellStyle name="Standard 6" xfId="55"/>
    <cellStyle name="Überschrift" xfId="15" builtinId="15" customBuiltin="1"/>
    <cellStyle name="Überschrift 1" xfId="16" builtinId="16" customBuiltin="1"/>
    <cellStyle name="Überschrift 2" xfId="17" builtinId="17" customBuiltin="1"/>
    <cellStyle name="Überschrift 3" xfId="18" builtinId="18" customBuiltin="1"/>
    <cellStyle name="Überschrift 4" xfId="19" builtinId="19" customBuiltin="1"/>
    <cellStyle name="Verknüpfte Zelle" xfId="26" builtinId="24" customBuiltin="1"/>
    <cellStyle name="Warnender Text" xfId="28" builtinId="11" customBuiltin="1"/>
    <cellStyle name="Zelle überprüfen" xfId="27"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1D1D1B"/>
      <rgbColor rgb="00FFFFFF"/>
      <rgbColor rgb="00FFFFFF"/>
      <rgbColor rgb="00F8F8F8"/>
      <rgbColor rgb="00D0C9BD"/>
      <rgbColor rgb="00F8F8F8"/>
      <rgbColor rgb="00F8F8F8"/>
      <rgbColor rgb="00F8F8F8"/>
      <rgbColor rgb="00D8BFB5"/>
      <rgbColor rgb="00BCB29A"/>
      <rgbColor rgb="00E7E7E7"/>
      <rgbColor rgb="009E8E7B"/>
      <rgbColor rgb="00F8F8F8"/>
      <rgbColor rgb="00545F6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F8F8F8"/>
      <rgbColor rgb="00CCFFFF"/>
      <rgbColor rgb="00CCFFCC"/>
      <rgbColor rgb="00FFFF99"/>
      <rgbColor rgb="0099CCFF"/>
      <rgbColor rgb="00FF99CC"/>
      <rgbColor rgb="00CC99FF"/>
      <rgbColor rgb="00FFCC99"/>
      <rgbColor rgb="003C4041"/>
      <rgbColor rgb="007F6E51"/>
      <rgbColor rgb="00D9C7A7"/>
      <rgbColor rgb="00F8F8F8"/>
      <rgbColor rgb="00FAEBBF"/>
      <rgbColor rgb="00B19A8F"/>
      <rgbColor rgb="00F8F8F8"/>
      <rgbColor rgb="00969696"/>
      <rgbColor rgb="00CCCCCC"/>
      <rgbColor rgb="00B19770"/>
      <rgbColor rgb="00B7B7B7"/>
      <rgbColor rgb="0094897E"/>
      <rgbColor rgb="00696868"/>
      <rgbColor rgb="00F8F8F8"/>
      <rgbColor rgb="00F8F8F8"/>
      <rgbColor rgb="00333333"/>
    </indexedColors>
    <mruColors>
      <color rgb="FF404040"/>
      <color rgb="FF7F6E51"/>
      <color rgb="FF94897E"/>
      <color rgb="FFD0C9BD"/>
      <color rgb="FFE0E3BF"/>
      <color rgb="FFD9C7A7"/>
      <color rgb="FFEEE5CE"/>
      <color rgb="FFFAEBBF"/>
      <color rgb="FFD8BFB5"/>
      <color rgb="FFE7D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sz="1400">
                <a:latin typeface="Arial" panose="020B0604020202020204" pitchFamily="34" charset="0"/>
                <a:cs typeface="Arial" panose="020B0604020202020204" pitchFamily="34" charset="0"/>
              </a:rPr>
              <a:t>Entwicklung</a:t>
            </a:r>
            <a:r>
              <a:rPr lang="de-CH" sz="1400" baseline="0">
                <a:latin typeface="Arial" panose="020B0604020202020204" pitchFamily="34" charset="0"/>
                <a:cs typeface="Arial" panose="020B0604020202020204" pitchFamily="34" charset="0"/>
              </a:rPr>
              <a:t> der Pflichtigen, des Einkommens und Vermögens, </a:t>
            </a:r>
          </a:p>
          <a:p>
            <a:pPr>
              <a:defRPr/>
            </a:pPr>
            <a:r>
              <a:rPr lang="de-CH" sz="1400" baseline="0">
                <a:latin typeface="Arial" panose="020B0604020202020204" pitchFamily="34" charset="0"/>
                <a:cs typeface="Arial" panose="020B0604020202020204" pitchFamily="34" charset="0"/>
              </a:rPr>
              <a:t>2001 – 2014</a:t>
            </a:r>
            <a:endParaRPr lang="de-CH" sz="14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tx>
            <c:strRef>
              <c:f>'T 1'!$P$47</c:f>
              <c:strCache>
                <c:ptCount val="1"/>
                <c:pt idx="0">
                  <c:v>Pflichtige</c:v>
                </c:pt>
              </c:strCache>
            </c:strRef>
          </c:tx>
          <c:spPr>
            <a:ln w="28575">
              <a:solidFill>
                <a:srgbClr val="D8BFB5"/>
              </a:solidFill>
            </a:ln>
          </c:spPr>
          <c:marker>
            <c:symbol val="none"/>
          </c:marker>
          <c:cat>
            <c:numRef>
              <c:f>'T 1'!$O$48:$O$61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1'!$P$48:$P$61</c:f>
              <c:numCache>
                <c:formatCode>_ * #,##0.0_ ;_ * \-#,##0.0_ ;_ * "-"??_ ;_ @_ </c:formatCode>
                <c:ptCount val="14"/>
                <c:pt idx="0">
                  <c:v>100</c:v>
                </c:pt>
                <c:pt idx="1">
                  <c:v>101.54142641691483</c:v>
                </c:pt>
                <c:pt idx="2">
                  <c:v>103.33672755559809</c:v>
                </c:pt>
                <c:pt idx="3">
                  <c:v>104.97780826619727</c:v>
                </c:pt>
                <c:pt idx="4">
                  <c:v>106.50311809206954</c:v>
                </c:pt>
                <c:pt idx="5">
                  <c:v>107.99648440109466</c:v>
                </c:pt>
                <c:pt idx="6">
                  <c:v>109.59953165494456</c:v>
                </c:pt>
                <c:pt idx="7">
                  <c:v>111.14945790770585</c:v>
                </c:pt>
                <c:pt idx="8">
                  <c:v>113.122915160912</c:v>
                </c:pt>
                <c:pt idx="9">
                  <c:v>115.14416520782009</c:v>
                </c:pt>
                <c:pt idx="10">
                  <c:v>116.95773722488624</c:v>
                </c:pt>
                <c:pt idx="11">
                  <c:v>118.90995380706586</c:v>
                </c:pt>
                <c:pt idx="12">
                  <c:v>120.72537472202092</c:v>
                </c:pt>
                <c:pt idx="13">
                  <c:v>122.51969571548082</c:v>
                </c:pt>
              </c:numCache>
            </c:numRef>
          </c:val>
          <c:smooth val="0"/>
          <c:extLst>
            <c:ext xmlns:c16="http://schemas.microsoft.com/office/drawing/2014/chart" uri="{C3380CC4-5D6E-409C-BE32-E72D297353CC}">
              <c16:uniqueId val="{00000000-4F61-4DAF-AD96-1A00F1DD500F}"/>
            </c:ext>
          </c:extLst>
        </c:ser>
        <c:ser>
          <c:idx val="2"/>
          <c:order val="1"/>
          <c:tx>
            <c:strRef>
              <c:f>'T 1'!$Q$47</c:f>
              <c:strCache>
                <c:ptCount val="1"/>
                <c:pt idx="0">
                  <c:v>Reineinkommen</c:v>
                </c:pt>
              </c:strCache>
            </c:strRef>
          </c:tx>
          <c:spPr>
            <a:ln w="28575">
              <a:solidFill>
                <a:srgbClr val="EEE5CE"/>
              </a:solidFill>
            </a:ln>
          </c:spPr>
          <c:marker>
            <c:symbol val="none"/>
          </c:marker>
          <c:cat>
            <c:numRef>
              <c:f>'T 1'!$O$48:$O$61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1'!$Q$48:$Q$61</c:f>
              <c:numCache>
                <c:formatCode>_ * #,##0.0_ ;_ * \-#,##0.0_ ;_ * "-"??_ ;_ @_ </c:formatCode>
                <c:ptCount val="14"/>
                <c:pt idx="0">
                  <c:v>100</c:v>
                </c:pt>
                <c:pt idx="1">
                  <c:v>100.22669440036466</c:v>
                </c:pt>
                <c:pt idx="2">
                  <c:v>99.588833608842776</c:v>
                </c:pt>
                <c:pt idx="3">
                  <c:v>100.08443790418104</c:v>
                </c:pt>
                <c:pt idx="4">
                  <c:v>100.72620114621465</c:v>
                </c:pt>
                <c:pt idx="5">
                  <c:v>101.90241516560845</c:v>
                </c:pt>
                <c:pt idx="6">
                  <c:v>105.17279998017371</c:v>
                </c:pt>
                <c:pt idx="7">
                  <c:v>107.41214646631603</c:v>
                </c:pt>
                <c:pt idx="8">
                  <c:v>108.30661777182267</c:v>
                </c:pt>
                <c:pt idx="9">
                  <c:v>109.36530664430208</c:v>
                </c:pt>
                <c:pt idx="10">
                  <c:v>111.00924396804155</c:v>
                </c:pt>
                <c:pt idx="11">
                  <c:v>111.72773092947894</c:v>
                </c:pt>
                <c:pt idx="12">
                  <c:v>112.28891233307552</c:v>
                </c:pt>
                <c:pt idx="13">
                  <c:v>112.21617707007756</c:v>
                </c:pt>
              </c:numCache>
            </c:numRef>
          </c:val>
          <c:smooth val="0"/>
          <c:extLst>
            <c:ext xmlns:c16="http://schemas.microsoft.com/office/drawing/2014/chart" uri="{C3380CC4-5D6E-409C-BE32-E72D297353CC}">
              <c16:uniqueId val="{00000001-4F61-4DAF-AD96-1A00F1DD500F}"/>
            </c:ext>
          </c:extLst>
        </c:ser>
        <c:ser>
          <c:idx val="3"/>
          <c:order val="2"/>
          <c:tx>
            <c:strRef>
              <c:f>'T 1'!$R$47</c:f>
              <c:strCache>
                <c:ptCount val="1"/>
                <c:pt idx="0">
                  <c:v>steuerbares Einkommen</c:v>
                </c:pt>
              </c:strCache>
            </c:strRef>
          </c:tx>
          <c:spPr>
            <a:ln w="28575">
              <a:solidFill>
                <a:srgbClr val="D9C7A7"/>
              </a:solidFill>
            </a:ln>
          </c:spPr>
          <c:marker>
            <c:symbol val="none"/>
          </c:marker>
          <c:cat>
            <c:numRef>
              <c:f>'T 1'!$O$48:$O$61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1'!$R$48:$R$61</c:f>
              <c:numCache>
                <c:formatCode>_ * #,##0.0_ ;_ * \-#,##0.0_ ;_ * "-"??_ ;_ @_ </c:formatCode>
                <c:ptCount val="14"/>
                <c:pt idx="0">
                  <c:v>100</c:v>
                </c:pt>
                <c:pt idx="1">
                  <c:v>100.23529005360831</c:v>
                </c:pt>
                <c:pt idx="2">
                  <c:v>100.0054432568793</c:v>
                </c:pt>
                <c:pt idx="3">
                  <c:v>100.24604369781377</c:v>
                </c:pt>
                <c:pt idx="4">
                  <c:v>101.02005403753319</c:v>
                </c:pt>
                <c:pt idx="5">
                  <c:v>102.32833038869495</c:v>
                </c:pt>
                <c:pt idx="6">
                  <c:v>103.44125496016947</c:v>
                </c:pt>
                <c:pt idx="7">
                  <c:v>105.86529810241045</c:v>
                </c:pt>
                <c:pt idx="8">
                  <c:v>106.78500180454191</c:v>
                </c:pt>
                <c:pt idx="9">
                  <c:v>107.77562191499021</c:v>
                </c:pt>
                <c:pt idx="10">
                  <c:v>109.53629579379145</c:v>
                </c:pt>
                <c:pt idx="11">
                  <c:v>110.36004462057004</c:v>
                </c:pt>
                <c:pt idx="12">
                  <c:v>111.01611905492791</c:v>
                </c:pt>
                <c:pt idx="13">
                  <c:v>110.4027635146053</c:v>
                </c:pt>
              </c:numCache>
            </c:numRef>
          </c:val>
          <c:smooth val="0"/>
          <c:extLst>
            <c:ext xmlns:c16="http://schemas.microsoft.com/office/drawing/2014/chart" uri="{C3380CC4-5D6E-409C-BE32-E72D297353CC}">
              <c16:uniqueId val="{00000002-4F61-4DAF-AD96-1A00F1DD500F}"/>
            </c:ext>
          </c:extLst>
        </c:ser>
        <c:ser>
          <c:idx val="5"/>
          <c:order val="3"/>
          <c:tx>
            <c:strRef>
              <c:f>'T 1'!$S$47</c:f>
              <c:strCache>
                <c:ptCount val="1"/>
                <c:pt idx="0">
                  <c:v>Reinvermögen</c:v>
                </c:pt>
              </c:strCache>
            </c:strRef>
          </c:tx>
          <c:spPr>
            <a:ln w="28575">
              <a:solidFill>
                <a:srgbClr val="7F6E51"/>
              </a:solidFill>
            </a:ln>
          </c:spPr>
          <c:marker>
            <c:symbol val="none"/>
          </c:marker>
          <c:cat>
            <c:numRef>
              <c:f>'T 1'!$O$48:$O$61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1'!$S$48:$S$61</c:f>
              <c:numCache>
                <c:formatCode>_ * #,##0.0_ ;_ * \-#,##0.0_ ;_ * "-"??_ ;_ @_ </c:formatCode>
                <c:ptCount val="14"/>
                <c:pt idx="0">
                  <c:v>100</c:v>
                </c:pt>
                <c:pt idx="1">
                  <c:v>98.401475387923171</c:v>
                </c:pt>
                <c:pt idx="2">
                  <c:v>101.06901681296262</c:v>
                </c:pt>
                <c:pt idx="3">
                  <c:v>100.17099139101316</c:v>
                </c:pt>
                <c:pt idx="4">
                  <c:v>103.91760431521358</c:v>
                </c:pt>
                <c:pt idx="5">
                  <c:v>106.59011082300975</c:v>
                </c:pt>
                <c:pt idx="6">
                  <c:v>106.61726614556784</c:v>
                </c:pt>
                <c:pt idx="7">
                  <c:v>97.530875255363014</c:v>
                </c:pt>
                <c:pt idx="8">
                  <c:v>102.11810897321448</c:v>
                </c:pt>
                <c:pt idx="9">
                  <c:v>102.0358526102922</c:v>
                </c:pt>
                <c:pt idx="10">
                  <c:v>103.85809393402101</c:v>
                </c:pt>
                <c:pt idx="11">
                  <c:v>108.72981508869977</c:v>
                </c:pt>
                <c:pt idx="12">
                  <c:v>111.87100527369466</c:v>
                </c:pt>
                <c:pt idx="13">
                  <c:v>111.79932914427818</c:v>
                </c:pt>
              </c:numCache>
            </c:numRef>
          </c:val>
          <c:smooth val="0"/>
          <c:extLst>
            <c:ext xmlns:c16="http://schemas.microsoft.com/office/drawing/2014/chart" uri="{C3380CC4-5D6E-409C-BE32-E72D297353CC}">
              <c16:uniqueId val="{00000003-4F61-4DAF-AD96-1A00F1DD500F}"/>
            </c:ext>
          </c:extLst>
        </c:ser>
        <c:ser>
          <c:idx val="6"/>
          <c:order val="4"/>
          <c:tx>
            <c:strRef>
              <c:f>'T 1'!$T$47</c:f>
              <c:strCache>
                <c:ptCount val="1"/>
                <c:pt idx="0">
                  <c:v>steuerbares Vermögen</c:v>
                </c:pt>
              </c:strCache>
            </c:strRef>
          </c:tx>
          <c:spPr>
            <a:ln w="28575">
              <a:solidFill>
                <a:srgbClr val="D0C9BD"/>
              </a:solidFill>
            </a:ln>
          </c:spPr>
          <c:marker>
            <c:symbol val="none"/>
          </c:marker>
          <c:cat>
            <c:numRef>
              <c:f>'T 1'!$O$48:$O$61</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1'!$T$48:$T$61</c:f>
              <c:numCache>
                <c:formatCode>_ * #,##0.0_ ;_ * \-#,##0.0_ ;_ * "-"??_ ;_ @_ </c:formatCode>
                <c:ptCount val="14"/>
                <c:pt idx="0">
                  <c:v>100</c:v>
                </c:pt>
                <c:pt idx="1">
                  <c:v>96.511585245001015</c:v>
                </c:pt>
                <c:pt idx="2">
                  <c:v>100.27897830546846</c:v>
                </c:pt>
                <c:pt idx="3">
                  <c:v>99.753842254771925</c:v>
                </c:pt>
                <c:pt idx="4">
                  <c:v>105.61387949254232</c:v>
                </c:pt>
                <c:pt idx="5">
                  <c:v>109.53036567723335</c:v>
                </c:pt>
                <c:pt idx="6">
                  <c:v>109.69583757127144</c:v>
                </c:pt>
                <c:pt idx="7">
                  <c:v>97.180838981481045</c:v>
                </c:pt>
                <c:pt idx="8">
                  <c:v>103.63053292149165</c:v>
                </c:pt>
                <c:pt idx="9">
                  <c:v>103.16581657421217</c:v>
                </c:pt>
                <c:pt idx="10">
                  <c:v>105.77804661017535</c:v>
                </c:pt>
                <c:pt idx="11">
                  <c:v>112.5510394878166</c:v>
                </c:pt>
                <c:pt idx="12">
                  <c:v>117.45287192895502</c:v>
                </c:pt>
                <c:pt idx="13">
                  <c:v>115.53939707694414</c:v>
                </c:pt>
              </c:numCache>
            </c:numRef>
          </c:val>
          <c:smooth val="0"/>
          <c:extLst>
            <c:ext xmlns:c16="http://schemas.microsoft.com/office/drawing/2014/chart" uri="{C3380CC4-5D6E-409C-BE32-E72D297353CC}">
              <c16:uniqueId val="{00000004-4F61-4DAF-AD96-1A00F1DD500F}"/>
            </c:ext>
          </c:extLst>
        </c:ser>
        <c:dLbls>
          <c:showLegendKey val="0"/>
          <c:showVal val="0"/>
          <c:showCatName val="0"/>
          <c:showSerName val="0"/>
          <c:showPercent val="0"/>
          <c:showBubbleSize val="0"/>
        </c:dLbls>
        <c:smooth val="0"/>
        <c:axId val="112576384"/>
        <c:axId val="112577920"/>
      </c:lineChart>
      <c:catAx>
        <c:axId val="11257638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2577920"/>
        <c:crossesAt val="90"/>
        <c:auto val="1"/>
        <c:lblAlgn val="ctr"/>
        <c:lblOffset val="100"/>
        <c:noMultiLvlLbl val="0"/>
      </c:catAx>
      <c:valAx>
        <c:axId val="112577920"/>
        <c:scaling>
          <c:orientation val="minMax"/>
          <c:max val="130"/>
          <c:min val="90"/>
        </c:scaling>
        <c:delete val="0"/>
        <c:axPos val="l"/>
        <c:majorGridlines/>
        <c:numFmt formatCode="_ * #,##0.0_ ;_ * \-#,##0.0_ ;_ * &quot;-&quot;??_ ;_ @_ "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2576384"/>
        <c:crosses val="autoZero"/>
        <c:crossBetween val="midCat"/>
        <c:majorUnit val="10"/>
      </c:valAx>
      <c:spPr>
        <a:noFill/>
        <a:ln w="25400">
          <a:noFill/>
        </a:ln>
      </c:spPr>
    </c:plotArea>
    <c:legend>
      <c:legendPos val="r"/>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de-CH" sz="1400">
                <a:latin typeface="Arial" panose="020B0604020202020204" pitchFamily="34" charset="0"/>
                <a:cs typeface="Arial" panose="020B0604020202020204" pitchFamily="34" charset="0"/>
              </a:rPr>
              <a:t>Steuerpflichtige</a:t>
            </a:r>
            <a:r>
              <a:rPr lang="de-CH" sz="1400" baseline="0">
                <a:latin typeface="Arial" panose="020B0604020202020204" pitchFamily="34" charset="0"/>
                <a:cs typeface="Arial" panose="020B0604020202020204" pitchFamily="34" charset="0"/>
              </a:rPr>
              <a:t> und Einkommenssteuer nach Stufen des steuerbaren Einkommens, in Prozent, 2014</a:t>
            </a:r>
            <a:endParaRPr lang="de-CH"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6.3914005724158854E-2"/>
          <c:y val="0.18293878297032795"/>
          <c:w val="0.67995536738812179"/>
          <c:h val="0.75813178562014549"/>
        </c:manualLayout>
      </c:layout>
      <c:barChart>
        <c:barDir val="col"/>
        <c:grouping val="percentStacked"/>
        <c:varyColors val="0"/>
        <c:ser>
          <c:idx val="0"/>
          <c:order val="0"/>
          <c:tx>
            <c:strRef>
              <c:f>'T 21b'!$Q$18</c:f>
              <c:strCache>
                <c:ptCount val="1"/>
                <c:pt idx="0">
                  <c:v>0 Fr.</c:v>
                </c:pt>
              </c:strCache>
            </c:strRef>
          </c:tx>
          <c:spPr>
            <a:solidFill>
              <a:schemeClr val="tx1">
                <a:lumMod val="85000"/>
                <a:lumOff val="15000"/>
              </a:schemeClr>
            </a:solidFill>
          </c:spPr>
          <c:invertIfNegative val="0"/>
          <c:cat>
            <c:strRef>
              <c:f>'T 21b'!$P$21:$P$22</c:f>
              <c:strCache>
                <c:ptCount val="2"/>
                <c:pt idx="0">
                  <c:v>Pflichtige</c:v>
                </c:pt>
                <c:pt idx="1">
                  <c:v>Einkommenssteuer (100%)</c:v>
                </c:pt>
              </c:strCache>
            </c:strRef>
          </c:cat>
          <c:val>
            <c:numRef>
              <c:f>'T 21b'!$Q$21:$Q$22</c:f>
              <c:numCache>
                <c:formatCode>0.0%</c:formatCode>
                <c:ptCount val="2"/>
                <c:pt idx="0">
                  <c:v>0.11620401155879301</c:v>
                </c:pt>
                <c:pt idx="1">
                  <c:v>0</c:v>
                </c:pt>
              </c:numCache>
            </c:numRef>
          </c:val>
          <c:extLst>
            <c:ext xmlns:c16="http://schemas.microsoft.com/office/drawing/2014/chart" uri="{C3380CC4-5D6E-409C-BE32-E72D297353CC}">
              <c16:uniqueId val="{00000000-0F58-474B-B991-B2BA6455958F}"/>
            </c:ext>
          </c:extLst>
        </c:ser>
        <c:ser>
          <c:idx val="1"/>
          <c:order val="1"/>
          <c:tx>
            <c:strRef>
              <c:f>'T 21b'!$R$18</c:f>
              <c:strCache>
                <c:ptCount val="1"/>
                <c:pt idx="0">
                  <c:v>0.1           -  24'999 Fr.</c:v>
                </c:pt>
              </c:strCache>
            </c:strRef>
          </c:tx>
          <c:spPr>
            <a:solidFill>
              <a:schemeClr val="tx1">
                <a:lumMod val="75000"/>
                <a:lumOff val="25000"/>
              </a:schemeClr>
            </a:solidFill>
          </c:spPr>
          <c:invertIfNegative val="0"/>
          <c:cat>
            <c:strRef>
              <c:f>'T 21b'!$P$21:$P$22</c:f>
              <c:strCache>
                <c:ptCount val="2"/>
                <c:pt idx="0">
                  <c:v>Pflichtige</c:v>
                </c:pt>
                <c:pt idx="1">
                  <c:v>Einkommenssteuer (100%)</c:v>
                </c:pt>
              </c:strCache>
            </c:strRef>
          </c:cat>
          <c:val>
            <c:numRef>
              <c:f>'T 21b'!$R$21:$R$22</c:f>
              <c:numCache>
                <c:formatCode>0.0%</c:formatCode>
                <c:ptCount val="2"/>
                <c:pt idx="0">
                  <c:v>0.10045348045029853</c:v>
                </c:pt>
                <c:pt idx="1">
                  <c:v>8.1118588480674145E-3</c:v>
                </c:pt>
              </c:numCache>
            </c:numRef>
          </c:val>
          <c:extLst>
            <c:ext xmlns:c16="http://schemas.microsoft.com/office/drawing/2014/chart" uri="{C3380CC4-5D6E-409C-BE32-E72D297353CC}">
              <c16:uniqueId val="{00000001-0F58-474B-B991-B2BA6455958F}"/>
            </c:ext>
          </c:extLst>
        </c:ser>
        <c:ser>
          <c:idx val="2"/>
          <c:order val="2"/>
          <c:tx>
            <c:strRef>
              <c:f>'T 21b'!$S$18</c:f>
              <c:strCache>
                <c:ptCount val="1"/>
                <c:pt idx="0">
                  <c:v>25'000    -  49'999 Fr.</c:v>
                </c:pt>
              </c:strCache>
            </c:strRef>
          </c:tx>
          <c:spPr>
            <a:solidFill>
              <a:schemeClr val="bg1">
                <a:lumMod val="50000"/>
              </a:schemeClr>
            </a:solidFill>
          </c:spPr>
          <c:invertIfNegative val="0"/>
          <c:cat>
            <c:strRef>
              <c:f>'T 21b'!$P$21:$P$22</c:f>
              <c:strCache>
                <c:ptCount val="2"/>
                <c:pt idx="0">
                  <c:v>Pflichtige</c:v>
                </c:pt>
                <c:pt idx="1">
                  <c:v>Einkommenssteuer (100%)</c:v>
                </c:pt>
              </c:strCache>
            </c:strRef>
          </c:cat>
          <c:val>
            <c:numRef>
              <c:f>'T 21b'!$S$21:$S$22</c:f>
              <c:numCache>
                <c:formatCode>0.0%</c:formatCode>
                <c:ptCount val="2"/>
                <c:pt idx="0">
                  <c:v>0.25843331620476612</c:v>
                </c:pt>
                <c:pt idx="1">
                  <c:v>0.11499591648957459</c:v>
                </c:pt>
              </c:numCache>
            </c:numRef>
          </c:val>
          <c:extLst>
            <c:ext xmlns:c16="http://schemas.microsoft.com/office/drawing/2014/chart" uri="{C3380CC4-5D6E-409C-BE32-E72D297353CC}">
              <c16:uniqueId val="{00000002-0F58-474B-B991-B2BA6455958F}"/>
            </c:ext>
          </c:extLst>
        </c:ser>
        <c:ser>
          <c:idx val="3"/>
          <c:order val="3"/>
          <c:tx>
            <c:strRef>
              <c:f>'T 21b'!$T$18</c:f>
              <c:strCache>
                <c:ptCount val="1"/>
                <c:pt idx="0">
                  <c:v>50'000    -  74'999 Fr.</c:v>
                </c:pt>
              </c:strCache>
            </c:strRef>
          </c:tx>
          <c:spPr>
            <a:solidFill>
              <a:srgbClr val="7F6E51"/>
            </a:solidFill>
          </c:spPr>
          <c:invertIfNegative val="0"/>
          <c:cat>
            <c:strRef>
              <c:f>'T 21b'!$P$21:$P$22</c:f>
              <c:strCache>
                <c:ptCount val="2"/>
                <c:pt idx="0">
                  <c:v>Pflichtige</c:v>
                </c:pt>
                <c:pt idx="1">
                  <c:v>Einkommenssteuer (100%)</c:v>
                </c:pt>
              </c:strCache>
            </c:strRef>
          </c:cat>
          <c:val>
            <c:numRef>
              <c:f>'T 21b'!$T$21:$T$22</c:f>
              <c:numCache>
                <c:formatCode>0.0%</c:formatCode>
                <c:ptCount val="2"/>
                <c:pt idx="0">
                  <c:v>0.24576635392350762</c:v>
                </c:pt>
                <c:pt idx="1">
                  <c:v>0.21610367530867355</c:v>
                </c:pt>
              </c:numCache>
            </c:numRef>
          </c:val>
          <c:extLst>
            <c:ext xmlns:c16="http://schemas.microsoft.com/office/drawing/2014/chart" uri="{C3380CC4-5D6E-409C-BE32-E72D297353CC}">
              <c16:uniqueId val="{00000003-0F58-474B-B991-B2BA6455958F}"/>
            </c:ext>
          </c:extLst>
        </c:ser>
        <c:ser>
          <c:idx val="4"/>
          <c:order val="4"/>
          <c:tx>
            <c:strRef>
              <c:f>'T 21b'!$U$18</c:f>
              <c:strCache>
                <c:ptCount val="1"/>
                <c:pt idx="0">
                  <c:v>75'000    -  99'999 Fr.</c:v>
                </c:pt>
              </c:strCache>
            </c:strRef>
          </c:tx>
          <c:spPr>
            <a:solidFill>
              <a:srgbClr val="B1A773"/>
            </a:solidFill>
          </c:spPr>
          <c:invertIfNegative val="0"/>
          <c:cat>
            <c:strRef>
              <c:f>'T 21b'!$P$21:$P$22</c:f>
              <c:strCache>
                <c:ptCount val="2"/>
                <c:pt idx="0">
                  <c:v>Pflichtige</c:v>
                </c:pt>
                <c:pt idx="1">
                  <c:v>Einkommenssteuer (100%)</c:v>
                </c:pt>
              </c:strCache>
            </c:strRef>
          </c:cat>
          <c:val>
            <c:numRef>
              <c:f>'T 21b'!$U$21:$U$22</c:f>
              <c:numCache>
                <c:formatCode>0.0%</c:formatCode>
                <c:ptCount val="2"/>
                <c:pt idx="0">
                  <c:v>0.13507816196825118</c:v>
                </c:pt>
                <c:pt idx="1">
                  <c:v>0.18571545107402759</c:v>
                </c:pt>
              </c:numCache>
            </c:numRef>
          </c:val>
          <c:extLst>
            <c:ext xmlns:c16="http://schemas.microsoft.com/office/drawing/2014/chart" uri="{C3380CC4-5D6E-409C-BE32-E72D297353CC}">
              <c16:uniqueId val="{00000004-0F58-474B-B991-B2BA6455958F}"/>
            </c:ext>
          </c:extLst>
        </c:ser>
        <c:ser>
          <c:idx val="5"/>
          <c:order val="5"/>
          <c:tx>
            <c:strRef>
              <c:f>'T 21b'!$V$18</c:f>
              <c:strCache>
                <c:ptCount val="1"/>
                <c:pt idx="0">
                  <c:v>100'000  - 199'999 Fr.</c:v>
                </c:pt>
              </c:strCache>
            </c:strRef>
          </c:tx>
          <c:spPr>
            <a:solidFill>
              <a:srgbClr val="E7D5D5"/>
            </a:solidFill>
          </c:spPr>
          <c:invertIfNegative val="0"/>
          <c:cat>
            <c:strRef>
              <c:f>'T 21b'!$P$21:$P$22</c:f>
              <c:strCache>
                <c:ptCount val="2"/>
                <c:pt idx="0">
                  <c:v>Pflichtige</c:v>
                </c:pt>
                <c:pt idx="1">
                  <c:v>Einkommenssteuer (100%)</c:v>
                </c:pt>
              </c:strCache>
            </c:strRef>
          </c:cat>
          <c:val>
            <c:numRef>
              <c:f>'T 21b'!$V$21:$V$22</c:f>
              <c:numCache>
                <c:formatCode>0.0%</c:formatCode>
                <c:ptCount val="2"/>
                <c:pt idx="0">
                  <c:v>0.1233969274932704</c:v>
                </c:pt>
                <c:pt idx="1">
                  <c:v>0.30540559643109594</c:v>
                </c:pt>
              </c:numCache>
            </c:numRef>
          </c:val>
          <c:extLst>
            <c:ext xmlns:c16="http://schemas.microsoft.com/office/drawing/2014/chart" uri="{C3380CC4-5D6E-409C-BE32-E72D297353CC}">
              <c16:uniqueId val="{00000005-0F58-474B-B991-B2BA6455958F}"/>
            </c:ext>
          </c:extLst>
        </c:ser>
        <c:ser>
          <c:idx val="6"/>
          <c:order val="6"/>
          <c:tx>
            <c:strRef>
              <c:f>'T 21b'!$W$18</c:f>
              <c:strCache>
                <c:ptCount val="1"/>
                <c:pt idx="0">
                  <c:v>200'000 Fr. +</c:v>
                </c:pt>
              </c:strCache>
            </c:strRef>
          </c:tx>
          <c:spPr>
            <a:solidFill>
              <a:srgbClr val="D8BFB5"/>
            </a:solidFill>
          </c:spPr>
          <c:invertIfNegative val="0"/>
          <c:cat>
            <c:strRef>
              <c:f>'T 21b'!$P$21:$P$22</c:f>
              <c:strCache>
                <c:ptCount val="2"/>
                <c:pt idx="0">
                  <c:v>Pflichtige</c:v>
                </c:pt>
                <c:pt idx="1">
                  <c:v>Einkommenssteuer (100%)</c:v>
                </c:pt>
              </c:strCache>
            </c:strRef>
          </c:cat>
          <c:val>
            <c:numRef>
              <c:f>'T 21b'!$W$21:$W$22</c:f>
              <c:numCache>
                <c:formatCode>0.0%</c:formatCode>
                <c:ptCount val="2"/>
                <c:pt idx="0">
                  <c:v>2.0667748401113076E-2</c:v>
                </c:pt>
                <c:pt idx="1">
                  <c:v>0.16966750184856083</c:v>
                </c:pt>
              </c:numCache>
            </c:numRef>
          </c:val>
          <c:extLst>
            <c:ext xmlns:c16="http://schemas.microsoft.com/office/drawing/2014/chart" uri="{C3380CC4-5D6E-409C-BE32-E72D297353CC}">
              <c16:uniqueId val="{00000006-0F58-474B-B991-B2BA6455958F}"/>
            </c:ext>
          </c:extLst>
        </c:ser>
        <c:dLbls>
          <c:showLegendKey val="0"/>
          <c:showVal val="0"/>
          <c:showCatName val="0"/>
          <c:showSerName val="0"/>
          <c:showPercent val="0"/>
          <c:showBubbleSize val="0"/>
        </c:dLbls>
        <c:gapWidth val="150"/>
        <c:overlap val="100"/>
        <c:serLines/>
        <c:axId val="125686144"/>
        <c:axId val="125687680"/>
      </c:barChart>
      <c:catAx>
        <c:axId val="12568614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5687680"/>
        <c:crosses val="autoZero"/>
        <c:auto val="1"/>
        <c:lblAlgn val="ctr"/>
        <c:lblOffset val="100"/>
        <c:noMultiLvlLbl val="0"/>
      </c:catAx>
      <c:valAx>
        <c:axId val="125687680"/>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CH" b="0">
                    <a:latin typeface="Arial" panose="020B0604020202020204" pitchFamily="34" charset="0"/>
                    <a:cs typeface="Arial" panose="020B0604020202020204" pitchFamily="34" charset="0"/>
                  </a:rPr>
                  <a:t>in</a:t>
                </a:r>
                <a:r>
                  <a:rPr lang="de-CH" b="0" baseline="0">
                    <a:latin typeface="Arial" panose="020B0604020202020204" pitchFamily="34" charset="0"/>
                    <a:cs typeface="Arial" panose="020B0604020202020204" pitchFamily="34" charset="0"/>
                  </a:rPr>
                  <a:t> Prozent</a:t>
                </a:r>
                <a:endParaRPr lang="de-CH" b="0">
                  <a:latin typeface="Arial" panose="020B0604020202020204" pitchFamily="34" charset="0"/>
                  <a:cs typeface="Arial" panose="020B0604020202020204" pitchFamily="34" charset="0"/>
                </a:endParaRPr>
              </a:p>
            </c:rich>
          </c:tx>
          <c:layout>
            <c:manualLayout>
              <c:xMode val="edge"/>
              <c:yMode val="edge"/>
              <c:x val="1.7420435510887771E-2"/>
              <c:y val="0.1115541715596938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5686144"/>
        <c:crosses val="autoZero"/>
        <c:crossBetween val="between"/>
      </c:valAx>
    </c:plotArea>
    <c:legend>
      <c:legendPos val="r"/>
      <c:layout>
        <c:manualLayout>
          <c:xMode val="edge"/>
          <c:yMode val="edge"/>
          <c:x val="0.78225163222675342"/>
          <c:y val="0.17588362641269956"/>
          <c:w val="0.18351706036745408"/>
          <c:h val="0.35151931552868276"/>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de-CH" sz="1400">
                <a:latin typeface="Arial" panose="020B0604020202020204" pitchFamily="34" charset="0"/>
                <a:cs typeface="Arial" panose="020B0604020202020204" pitchFamily="34" charset="0"/>
              </a:rPr>
              <a:t>Steuerpflichtige</a:t>
            </a:r>
            <a:r>
              <a:rPr lang="de-CH" sz="1400" baseline="0">
                <a:latin typeface="Arial" panose="020B0604020202020204" pitchFamily="34" charset="0"/>
                <a:cs typeface="Arial" panose="020B0604020202020204" pitchFamily="34" charset="0"/>
              </a:rPr>
              <a:t> und Vermögenssteuer nach Stufen des steuerbaren Vermögens, in Prozent, 2014</a:t>
            </a:r>
            <a:endParaRPr lang="de-CH"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7.8126652350274398E-2"/>
          <c:y val="0.18090738657667793"/>
          <c:w val="0.69010826373975975"/>
          <c:h val="0.75460959271982897"/>
        </c:manualLayout>
      </c:layout>
      <c:barChart>
        <c:barDir val="col"/>
        <c:grouping val="percentStacked"/>
        <c:varyColors val="0"/>
        <c:ser>
          <c:idx val="0"/>
          <c:order val="0"/>
          <c:tx>
            <c:strRef>
              <c:f>'T 22b'!$Q$17</c:f>
              <c:strCache>
                <c:ptCount val="1"/>
                <c:pt idx="0">
                  <c:v>0 Fr.</c:v>
                </c:pt>
              </c:strCache>
            </c:strRef>
          </c:tx>
          <c:spPr>
            <a:solidFill>
              <a:schemeClr val="tx1">
                <a:lumMod val="85000"/>
                <a:lumOff val="15000"/>
              </a:schemeClr>
            </a:solidFill>
          </c:spPr>
          <c:invertIfNegative val="0"/>
          <c:cat>
            <c:strRef>
              <c:f>'T 22b'!$P$20:$P$21</c:f>
              <c:strCache>
                <c:ptCount val="2"/>
                <c:pt idx="0">
                  <c:v>Pflichtige</c:v>
                </c:pt>
                <c:pt idx="1">
                  <c:v>Vermögenssteuer (100 %)</c:v>
                </c:pt>
              </c:strCache>
            </c:strRef>
          </c:cat>
          <c:val>
            <c:numRef>
              <c:f>'T 22b'!$Q$20:$Q$21</c:f>
              <c:numCache>
                <c:formatCode>0.0%</c:formatCode>
                <c:ptCount val="2"/>
                <c:pt idx="0">
                  <c:v>0.67819015028750174</c:v>
                </c:pt>
                <c:pt idx="1">
                  <c:v>0</c:v>
                </c:pt>
              </c:numCache>
            </c:numRef>
          </c:val>
          <c:extLst>
            <c:ext xmlns:c16="http://schemas.microsoft.com/office/drawing/2014/chart" uri="{C3380CC4-5D6E-409C-BE32-E72D297353CC}">
              <c16:uniqueId val="{00000000-856C-47AF-AD07-BD690FCB62E5}"/>
            </c:ext>
          </c:extLst>
        </c:ser>
        <c:ser>
          <c:idx val="1"/>
          <c:order val="1"/>
          <c:tx>
            <c:strRef>
              <c:f>'T 22b'!$R$17</c:f>
              <c:strCache>
                <c:ptCount val="1"/>
                <c:pt idx="0">
                  <c:v>0.1                -  199'999 Fr.</c:v>
                </c:pt>
              </c:strCache>
            </c:strRef>
          </c:tx>
          <c:spPr>
            <a:solidFill>
              <a:schemeClr val="tx1">
                <a:lumMod val="75000"/>
                <a:lumOff val="25000"/>
              </a:schemeClr>
            </a:solidFill>
          </c:spPr>
          <c:invertIfNegative val="0"/>
          <c:cat>
            <c:strRef>
              <c:f>'T 22b'!$P$20:$P$21</c:f>
              <c:strCache>
                <c:ptCount val="2"/>
                <c:pt idx="0">
                  <c:v>Pflichtige</c:v>
                </c:pt>
                <c:pt idx="1">
                  <c:v>Vermögenssteuer (100 %)</c:v>
                </c:pt>
              </c:strCache>
            </c:strRef>
          </c:cat>
          <c:val>
            <c:numRef>
              <c:f>'T 22b'!$R$20:$R$21</c:f>
              <c:numCache>
                <c:formatCode>0.0%</c:formatCode>
                <c:ptCount val="2"/>
                <c:pt idx="0">
                  <c:v>0.13250099689494835</c:v>
                </c:pt>
                <c:pt idx="1">
                  <c:v>3.7518256737050275E-2</c:v>
                </c:pt>
              </c:numCache>
            </c:numRef>
          </c:val>
          <c:extLst>
            <c:ext xmlns:c16="http://schemas.microsoft.com/office/drawing/2014/chart" uri="{C3380CC4-5D6E-409C-BE32-E72D297353CC}">
              <c16:uniqueId val="{00000001-856C-47AF-AD07-BD690FCB62E5}"/>
            </c:ext>
          </c:extLst>
        </c:ser>
        <c:ser>
          <c:idx val="2"/>
          <c:order val="2"/>
          <c:tx>
            <c:strRef>
              <c:f>'T 22b'!$S$17</c:f>
              <c:strCache>
                <c:ptCount val="1"/>
                <c:pt idx="0">
                  <c:v>200'000       -  499'999 Fr.</c:v>
                </c:pt>
              </c:strCache>
            </c:strRef>
          </c:tx>
          <c:spPr>
            <a:solidFill>
              <a:schemeClr val="bg1">
                <a:lumMod val="50000"/>
              </a:schemeClr>
            </a:solidFill>
          </c:spPr>
          <c:invertIfNegative val="0"/>
          <c:cat>
            <c:strRef>
              <c:f>'T 22b'!$P$20:$P$21</c:f>
              <c:strCache>
                <c:ptCount val="2"/>
                <c:pt idx="0">
                  <c:v>Pflichtige</c:v>
                </c:pt>
                <c:pt idx="1">
                  <c:v>Vermögenssteuer (100 %)</c:v>
                </c:pt>
              </c:strCache>
            </c:strRef>
          </c:cat>
          <c:val>
            <c:numRef>
              <c:f>'T 22b'!$S$20:$S$21</c:f>
              <c:numCache>
                <c:formatCode>0.0%</c:formatCode>
                <c:ptCount val="2"/>
                <c:pt idx="0">
                  <c:v>8.6761973521258764E-2</c:v>
                </c:pt>
                <c:pt idx="1">
                  <c:v>0.11093324017131152</c:v>
                </c:pt>
              </c:numCache>
            </c:numRef>
          </c:val>
          <c:extLst>
            <c:ext xmlns:c16="http://schemas.microsoft.com/office/drawing/2014/chart" uri="{C3380CC4-5D6E-409C-BE32-E72D297353CC}">
              <c16:uniqueId val="{00000002-856C-47AF-AD07-BD690FCB62E5}"/>
            </c:ext>
          </c:extLst>
        </c:ser>
        <c:ser>
          <c:idx val="3"/>
          <c:order val="3"/>
          <c:tx>
            <c:strRef>
              <c:f>'T 22b'!$T$17</c:f>
              <c:strCache>
                <c:ptCount val="1"/>
                <c:pt idx="0">
                  <c:v>500'000       -  999'999 Fr.</c:v>
                </c:pt>
              </c:strCache>
            </c:strRef>
          </c:tx>
          <c:spPr>
            <a:solidFill>
              <a:srgbClr val="7F6E51"/>
            </a:solidFill>
          </c:spPr>
          <c:invertIfNegative val="0"/>
          <c:cat>
            <c:strRef>
              <c:f>'T 22b'!$P$20:$P$21</c:f>
              <c:strCache>
                <c:ptCount val="2"/>
                <c:pt idx="0">
                  <c:v>Pflichtige</c:v>
                </c:pt>
                <c:pt idx="1">
                  <c:v>Vermögenssteuer (100 %)</c:v>
                </c:pt>
              </c:strCache>
            </c:strRef>
          </c:cat>
          <c:val>
            <c:numRef>
              <c:f>'T 22b'!$T$20:$T$21</c:f>
              <c:numCache>
                <c:formatCode>0.0%</c:formatCode>
                <c:ptCount val="2"/>
                <c:pt idx="0">
                  <c:v>5.7303258633466608E-2</c:v>
                </c:pt>
                <c:pt idx="1">
                  <c:v>0.17886869686381626</c:v>
                </c:pt>
              </c:numCache>
            </c:numRef>
          </c:val>
          <c:extLst>
            <c:ext xmlns:c16="http://schemas.microsoft.com/office/drawing/2014/chart" uri="{C3380CC4-5D6E-409C-BE32-E72D297353CC}">
              <c16:uniqueId val="{00000003-856C-47AF-AD07-BD690FCB62E5}"/>
            </c:ext>
          </c:extLst>
        </c:ser>
        <c:ser>
          <c:idx val="4"/>
          <c:order val="4"/>
          <c:tx>
            <c:strRef>
              <c:f>'T 22b'!$U$17</c:f>
              <c:strCache>
                <c:ptCount val="1"/>
                <c:pt idx="0">
                  <c:v>1'000'000    -  1'999'999 Fr.</c:v>
                </c:pt>
              </c:strCache>
            </c:strRef>
          </c:tx>
          <c:spPr>
            <a:solidFill>
              <a:srgbClr val="ACB074"/>
            </a:solidFill>
          </c:spPr>
          <c:invertIfNegative val="0"/>
          <c:cat>
            <c:strRef>
              <c:f>'T 22b'!$P$20:$P$21</c:f>
              <c:strCache>
                <c:ptCount val="2"/>
                <c:pt idx="0">
                  <c:v>Pflichtige</c:v>
                </c:pt>
                <c:pt idx="1">
                  <c:v>Vermögenssteuer (100 %)</c:v>
                </c:pt>
              </c:strCache>
            </c:strRef>
          </c:cat>
          <c:val>
            <c:numRef>
              <c:f>'T 22b'!$U$20:$U$21</c:f>
              <c:numCache>
                <c:formatCode>0.0%</c:formatCode>
                <c:ptCount val="2"/>
                <c:pt idx="0">
                  <c:v>2.9758363340793098E-2</c:v>
                </c:pt>
                <c:pt idx="1">
                  <c:v>0.20962083376782295</c:v>
                </c:pt>
              </c:numCache>
            </c:numRef>
          </c:val>
          <c:extLst>
            <c:ext xmlns:c16="http://schemas.microsoft.com/office/drawing/2014/chart" uri="{C3380CC4-5D6E-409C-BE32-E72D297353CC}">
              <c16:uniqueId val="{00000004-856C-47AF-AD07-BD690FCB62E5}"/>
            </c:ext>
          </c:extLst>
        </c:ser>
        <c:ser>
          <c:idx val="5"/>
          <c:order val="5"/>
          <c:tx>
            <c:strRef>
              <c:f>'T 22b'!$V$17</c:f>
              <c:strCache>
                <c:ptCount val="1"/>
                <c:pt idx="0">
                  <c:v>2'000'000 Fr. +</c:v>
                </c:pt>
              </c:strCache>
            </c:strRef>
          </c:tx>
          <c:spPr>
            <a:solidFill>
              <a:srgbClr val="E7D5D5"/>
            </a:solidFill>
          </c:spPr>
          <c:invertIfNegative val="0"/>
          <c:cat>
            <c:strRef>
              <c:f>'T 22b'!$P$20:$P$21</c:f>
              <c:strCache>
                <c:ptCount val="2"/>
                <c:pt idx="0">
                  <c:v>Pflichtige</c:v>
                </c:pt>
                <c:pt idx="1">
                  <c:v>Vermögenssteuer (100 %)</c:v>
                </c:pt>
              </c:strCache>
            </c:strRef>
          </c:cat>
          <c:val>
            <c:numRef>
              <c:f>'T 22b'!$V$20:$V$21</c:f>
              <c:numCache>
                <c:formatCode>0.0%</c:formatCode>
                <c:ptCount val="2"/>
                <c:pt idx="0">
                  <c:v>1.5485257322031312E-2</c:v>
                </c:pt>
                <c:pt idx="1">
                  <c:v>0.46305897245999905</c:v>
                </c:pt>
              </c:numCache>
            </c:numRef>
          </c:val>
          <c:extLst>
            <c:ext xmlns:c16="http://schemas.microsoft.com/office/drawing/2014/chart" uri="{C3380CC4-5D6E-409C-BE32-E72D297353CC}">
              <c16:uniqueId val="{00000005-856C-47AF-AD07-BD690FCB62E5}"/>
            </c:ext>
          </c:extLst>
        </c:ser>
        <c:dLbls>
          <c:showLegendKey val="0"/>
          <c:showVal val="0"/>
          <c:showCatName val="0"/>
          <c:showSerName val="0"/>
          <c:showPercent val="0"/>
          <c:showBubbleSize val="0"/>
        </c:dLbls>
        <c:gapWidth val="150"/>
        <c:overlap val="100"/>
        <c:serLines/>
        <c:axId val="126623104"/>
        <c:axId val="126633088"/>
      </c:barChart>
      <c:catAx>
        <c:axId val="12662310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633088"/>
        <c:crosses val="autoZero"/>
        <c:auto val="1"/>
        <c:lblAlgn val="ctr"/>
        <c:lblOffset val="100"/>
        <c:noMultiLvlLbl val="0"/>
      </c:catAx>
      <c:valAx>
        <c:axId val="126633088"/>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CH" b="0">
                    <a:latin typeface="Arial" panose="020B0604020202020204" pitchFamily="34" charset="0"/>
                    <a:cs typeface="Arial" panose="020B0604020202020204" pitchFamily="34" charset="0"/>
                  </a:rPr>
                  <a:t>in</a:t>
                </a:r>
                <a:r>
                  <a:rPr lang="de-CH" b="0" baseline="0">
                    <a:latin typeface="Arial" panose="020B0604020202020204" pitchFamily="34" charset="0"/>
                    <a:cs typeface="Arial" panose="020B0604020202020204" pitchFamily="34" charset="0"/>
                  </a:rPr>
                  <a:t> Prozent</a:t>
                </a:r>
                <a:endParaRPr lang="de-CH" b="0">
                  <a:latin typeface="Arial" panose="020B0604020202020204" pitchFamily="34" charset="0"/>
                  <a:cs typeface="Arial" panose="020B0604020202020204" pitchFamily="34" charset="0"/>
                </a:endParaRPr>
              </a:p>
            </c:rich>
          </c:tx>
          <c:layout>
            <c:manualLayout>
              <c:xMode val="edge"/>
              <c:yMode val="edge"/>
              <c:x val="2.4242434811927574E-2"/>
              <c:y val="0.10969223441664387"/>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6623104"/>
        <c:crosses val="autoZero"/>
        <c:crossBetween val="between"/>
      </c:valAx>
    </c:plotArea>
    <c:legend>
      <c:legendPos val="r"/>
      <c:layout>
        <c:manualLayout>
          <c:xMode val="edge"/>
          <c:yMode val="edge"/>
          <c:x val="0.79021157239066042"/>
          <c:y val="0.18626840563848437"/>
          <c:w val="0.19644037222619901"/>
          <c:h val="0.26352476210743925"/>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E411-45A1-96C0-2F9BD97D88AE}"/>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E411-45A1-96C0-2F9BD97D88AE}"/>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E411-45A1-96C0-2F9BD97D88AE}"/>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E411-45A1-96C0-2F9BD97D88AE}"/>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E411-45A1-96C0-2F9BD97D88AE}"/>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E411-45A1-96C0-2F9BD97D88AE}"/>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E411-45A1-96C0-2F9BD97D88AE}"/>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E411-45A1-96C0-2F9BD97D88AE}"/>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E411-45A1-96C0-2F9BD97D88AE}"/>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E411-45A1-96C0-2F9BD97D88AE}"/>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E411-45A1-96C0-2F9BD97D88AE}"/>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E411-45A1-96C0-2F9BD97D88AE}"/>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E411-45A1-96C0-2F9BD97D88AE}"/>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E411-45A1-96C0-2F9BD97D88AE}"/>
            </c:ext>
          </c:extLst>
        </c:ser>
        <c:dLbls>
          <c:showLegendKey val="0"/>
          <c:showVal val="0"/>
          <c:showCatName val="0"/>
          <c:showSerName val="0"/>
          <c:showPercent val="0"/>
          <c:showBubbleSize val="0"/>
        </c:dLbls>
        <c:gapWidth val="150"/>
        <c:axId val="125769600"/>
        <c:axId val="125771136"/>
      </c:barChart>
      <c:catAx>
        <c:axId val="125769600"/>
        <c:scaling>
          <c:orientation val="minMax"/>
        </c:scaling>
        <c:delete val="0"/>
        <c:axPos val="b"/>
        <c:numFmt formatCode="General" sourceLinked="1"/>
        <c:majorTickMark val="out"/>
        <c:minorTickMark val="none"/>
        <c:tickLblPos val="nextTo"/>
        <c:crossAx val="125771136"/>
        <c:crosses val="autoZero"/>
        <c:auto val="1"/>
        <c:lblAlgn val="ctr"/>
        <c:lblOffset val="100"/>
        <c:noMultiLvlLbl val="0"/>
      </c:catAx>
      <c:valAx>
        <c:axId val="125771136"/>
        <c:scaling>
          <c:orientation val="minMax"/>
        </c:scaling>
        <c:delete val="0"/>
        <c:axPos val="l"/>
        <c:majorGridlines/>
        <c:numFmt formatCode="General" sourceLinked="1"/>
        <c:majorTickMark val="out"/>
        <c:minorTickMark val="none"/>
        <c:tickLblPos val="nextTo"/>
        <c:crossAx val="1257696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de-CH" sz="1400">
                <a:latin typeface="Arial" panose="020B0604020202020204" pitchFamily="34" charset="0"/>
                <a:cs typeface="Arial" panose="020B0604020202020204" pitchFamily="34" charset="0"/>
              </a:rPr>
              <a:t>Vermögens- und Einkommenssteuer von Pflichtigen mit Wohnsitz im Kanton Aargau, in Millionen Franken, </a:t>
            </a:r>
            <a:r>
              <a:rPr lang="de-CH" sz="1400" b="1" i="0" u="none" strike="noStrike" baseline="0">
                <a:effectLst/>
              </a:rPr>
              <a:t>2001 – 2014</a:t>
            </a:r>
            <a:endParaRPr lang="de-CH"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8.1576001174063953E-2"/>
          <c:y val="0.20014299816608092"/>
          <c:w val="0.69410302411323732"/>
          <c:h val="0.69012211006538604"/>
        </c:manualLayout>
      </c:layout>
      <c:lineChart>
        <c:grouping val="standard"/>
        <c:varyColors val="0"/>
        <c:ser>
          <c:idx val="2"/>
          <c:order val="0"/>
          <c:tx>
            <c:strRef>
              <c:f>'T 26a'!$E$3</c:f>
              <c:strCache>
                <c:ptCount val="1"/>
                <c:pt idx="0">
                  <c:v>Total Steuer</c:v>
                </c:pt>
              </c:strCache>
            </c:strRef>
          </c:tx>
          <c:spPr>
            <a:ln>
              <a:solidFill>
                <a:srgbClr val="404040"/>
              </a:solidFill>
            </a:ln>
          </c:spPr>
          <c:marker>
            <c:symbol val="none"/>
          </c:marker>
          <c:cat>
            <c:numRef>
              <c:f>'T 26a'!$B$5:$B$18</c:f>
              <c:numCache>
                <c:formatCode>0_ ;\-0\ </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26a'!$E$5:$E$18</c:f>
              <c:numCache>
                <c:formatCode>_ * #,##0_ ;_ * \-#,##0_ ;_ * "-"??_ ;_ @_ </c:formatCode>
                <c:ptCount val="14"/>
                <c:pt idx="0">
                  <c:v>1042.8778309655154</c:v>
                </c:pt>
                <c:pt idx="1">
                  <c:v>995.29748159082283</c:v>
                </c:pt>
                <c:pt idx="2">
                  <c:v>1014.313227621624</c:v>
                </c:pt>
                <c:pt idx="3">
                  <c:v>1038.5666458372664</c:v>
                </c:pt>
                <c:pt idx="4">
                  <c:v>1076.7011166278583</c:v>
                </c:pt>
                <c:pt idx="5">
                  <c:v>1120.4897105060675</c:v>
                </c:pt>
                <c:pt idx="6">
                  <c:v>1169.4041441216875</c:v>
                </c:pt>
                <c:pt idx="7">
                  <c:v>1206.8637756582737</c:v>
                </c:pt>
                <c:pt idx="8">
                  <c:v>1190.3909214424823</c:v>
                </c:pt>
                <c:pt idx="9">
                  <c:v>1229.442279694744</c:v>
                </c:pt>
                <c:pt idx="10">
                  <c:v>1277.3808290952745</c:v>
                </c:pt>
                <c:pt idx="11">
                  <c:v>1317.4814359554491</c:v>
                </c:pt>
                <c:pt idx="12">
                  <c:v>1357.2769922808741</c:v>
                </c:pt>
                <c:pt idx="13">
                  <c:v>1327.2279470000001</c:v>
                </c:pt>
              </c:numCache>
            </c:numRef>
          </c:val>
          <c:smooth val="1"/>
          <c:extLst>
            <c:ext xmlns:c16="http://schemas.microsoft.com/office/drawing/2014/chart" uri="{C3380CC4-5D6E-409C-BE32-E72D297353CC}">
              <c16:uniqueId val="{00000000-F5F5-4C33-983E-68E4C7D94061}"/>
            </c:ext>
          </c:extLst>
        </c:ser>
        <c:ser>
          <c:idx val="0"/>
          <c:order val="1"/>
          <c:tx>
            <c:strRef>
              <c:f>'T 26a'!$C$3</c:f>
              <c:strCache>
                <c:ptCount val="1"/>
                <c:pt idx="0">
                  <c:v>Einkommenssteuer</c:v>
                </c:pt>
              </c:strCache>
            </c:strRef>
          </c:tx>
          <c:spPr>
            <a:ln>
              <a:solidFill>
                <a:srgbClr val="E0E3BF"/>
              </a:solidFill>
            </a:ln>
          </c:spPr>
          <c:marker>
            <c:symbol val="none"/>
          </c:marker>
          <c:cat>
            <c:numRef>
              <c:f>'T 26a'!$B$5:$B$18</c:f>
              <c:numCache>
                <c:formatCode>0_ ;\-0\ </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26a'!$C$5:$C$18</c:f>
              <c:numCache>
                <c:formatCode>_ * #,##0_ ;_ * \-#,##0_ ;_ * "-"??_ ;_ @_ </c:formatCode>
                <c:ptCount val="14"/>
                <c:pt idx="0">
                  <c:v>931.95146932514001</c:v>
                </c:pt>
                <c:pt idx="1">
                  <c:v>886.800793282168</c:v>
                </c:pt>
                <c:pt idx="2">
                  <c:v>898.86829859739555</c:v>
                </c:pt>
                <c:pt idx="3">
                  <c:v>922.07222185249259</c:v>
                </c:pt>
                <c:pt idx="4">
                  <c:v>950.77996779256625</c:v>
                </c:pt>
                <c:pt idx="5">
                  <c:v>987.7252907640061</c:v>
                </c:pt>
                <c:pt idx="6">
                  <c:v>1034.5189925775421</c:v>
                </c:pt>
                <c:pt idx="7">
                  <c:v>1086.8349006562958</c:v>
                </c:pt>
                <c:pt idx="8">
                  <c:v>1077.6264891524002</c:v>
                </c:pt>
                <c:pt idx="9">
                  <c:v>1114.1252979947608</c:v>
                </c:pt>
                <c:pt idx="10">
                  <c:v>1156.6068096830309</c:v>
                </c:pt>
                <c:pt idx="11">
                  <c:v>1188.4815323994578</c:v>
                </c:pt>
                <c:pt idx="12">
                  <c:v>1220.7927564478773</c:v>
                </c:pt>
                <c:pt idx="13">
                  <c:v>1204.1473599999999</c:v>
                </c:pt>
              </c:numCache>
            </c:numRef>
          </c:val>
          <c:smooth val="1"/>
          <c:extLst>
            <c:ext xmlns:c16="http://schemas.microsoft.com/office/drawing/2014/chart" uri="{C3380CC4-5D6E-409C-BE32-E72D297353CC}">
              <c16:uniqueId val="{00000001-F5F5-4C33-983E-68E4C7D94061}"/>
            </c:ext>
          </c:extLst>
        </c:ser>
        <c:ser>
          <c:idx val="1"/>
          <c:order val="2"/>
          <c:tx>
            <c:strRef>
              <c:f>'T 26a'!$D$3</c:f>
              <c:strCache>
                <c:ptCount val="1"/>
                <c:pt idx="0">
                  <c:v>Vermögenssteuer</c:v>
                </c:pt>
              </c:strCache>
            </c:strRef>
          </c:tx>
          <c:spPr>
            <a:ln>
              <a:solidFill>
                <a:srgbClr val="7F6E51"/>
              </a:solidFill>
            </a:ln>
          </c:spPr>
          <c:marker>
            <c:symbol val="none"/>
          </c:marker>
          <c:cat>
            <c:numRef>
              <c:f>'T 26a'!$B$5:$B$18</c:f>
              <c:numCache>
                <c:formatCode>0_ ;\-0\ </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26a'!$D$5:$D$18</c:f>
              <c:numCache>
                <c:formatCode>_ * #,##0_ ;_ * \-#,##0_ ;_ * "-"??_ ;_ @_ </c:formatCode>
                <c:ptCount val="14"/>
                <c:pt idx="0">
                  <c:v>110.92636164037542</c:v>
                </c:pt>
                <c:pt idx="1">
                  <c:v>108.49668830865483</c:v>
                </c:pt>
                <c:pt idx="2">
                  <c:v>115.44492902422844</c:v>
                </c:pt>
                <c:pt idx="3">
                  <c:v>116.4944239847737</c:v>
                </c:pt>
                <c:pt idx="4">
                  <c:v>125.92114883529182</c:v>
                </c:pt>
                <c:pt idx="5">
                  <c:v>132.76441974206148</c:v>
                </c:pt>
                <c:pt idx="6">
                  <c:v>134.88515154414526</c:v>
                </c:pt>
                <c:pt idx="7">
                  <c:v>120.02887500197799</c:v>
                </c:pt>
                <c:pt idx="8">
                  <c:v>112.7644322900819</c:v>
                </c:pt>
                <c:pt idx="9">
                  <c:v>115.31698169998326</c:v>
                </c:pt>
                <c:pt idx="10">
                  <c:v>120.77401941225111</c:v>
                </c:pt>
                <c:pt idx="11">
                  <c:v>128.99990355598027</c:v>
                </c:pt>
                <c:pt idx="12">
                  <c:v>136.48423583297034</c:v>
                </c:pt>
                <c:pt idx="13">
                  <c:v>123.08058629999999</c:v>
                </c:pt>
              </c:numCache>
            </c:numRef>
          </c:val>
          <c:smooth val="1"/>
          <c:extLst>
            <c:ext xmlns:c16="http://schemas.microsoft.com/office/drawing/2014/chart" uri="{C3380CC4-5D6E-409C-BE32-E72D297353CC}">
              <c16:uniqueId val="{00000002-F5F5-4C33-983E-68E4C7D94061}"/>
            </c:ext>
          </c:extLst>
        </c:ser>
        <c:dLbls>
          <c:showLegendKey val="0"/>
          <c:showVal val="0"/>
          <c:showCatName val="0"/>
          <c:showSerName val="0"/>
          <c:showPercent val="0"/>
          <c:showBubbleSize val="0"/>
        </c:dLbls>
        <c:smooth val="0"/>
        <c:axId val="125810176"/>
        <c:axId val="125811712"/>
      </c:lineChart>
      <c:catAx>
        <c:axId val="125810176"/>
        <c:scaling>
          <c:orientation val="minMax"/>
        </c:scaling>
        <c:delete val="0"/>
        <c:axPos val="b"/>
        <c:numFmt formatCode="0_ ;\-0\ "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5811712"/>
        <c:crosses val="autoZero"/>
        <c:auto val="1"/>
        <c:lblAlgn val="ctr"/>
        <c:lblOffset val="100"/>
        <c:noMultiLvlLbl val="1"/>
      </c:catAx>
      <c:valAx>
        <c:axId val="125811712"/>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CH" b="0">
                    <a:latin typeface="Arial" panose="020B0604020202020204" pitchFamily="34" charset="0"/>
                    <a:cs typeface="Arial" panose="020B0604020202020204" pitchFamily="34" charset="0"/>
                  </a:rPr>
                  <a:t>in</a:t>
                </a:r>
                <a:r>
                  <a:rPr lang="de-CH" b="0" baseline="0">
                    <a:latin typeface="Arial" panose="020B0604020202020204" pitchFamily="34" charset="0"/>
                    <a:cs typeface="Arial" panose="020B0604020202020204" pitchFamily="34" charset="0"/>
                  </a:rPr>
                  <a:t> Mio. Franken</a:t>
                </a:r>
                <a:endParaRPr lang="de-CH" b="0">
                  <a:latin typeface="Arial" panose="020B0604020202020204" pitchFamily="34" charset="0"/>
                  <a:cs typeface="Arial" panose="020B0604020202020204" pitchFamily="34" charset="0"/>
                </a:endParaRPr>
              </a:p>
            </c:rich>
          </c:tx>
          <c:layout>
            <c:manualLayout>
              <c:xMode val="edge"/>
              <c:yMode val="edge"/>
              <c:x val="2.5865296362494565E-2"/>
              <c:y val="0.12867091628991043"/>
            </c:manualLayout>
          </c:layout>
          <c:overlay val="0"/>
        </c:title>
        <c:numFmt formatCode="_ * #,##0_ ;_ * \-#,##0_ ;_ * &quot;-&quot;??_ ;_ @_ "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25810176"/>
        <c:crosses val="autoZero"/>
        <c:crossBetween val="midCat"/>
      </c:valAx>
    </c:plotArea>
    <c:legend>
      <c:legendPos val="r"/>
      <c:layout>
        <c:manualLayout>
          <c:xMode val="edge"/>
          <c:yMode val="edge"/>
          <c:x val="0.79980220616203868"/>
          <c:y val="0.22127148960500062"/>
          <c:w val="0.17726993865030674"/>
          <c:h val="0.14042959932432286"/>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de-CH" sz="1400">
                <a:latin typeface="Arial" panose="020B0604020202020204" pitchFamily="34" charset="0"/>
                <a:cs typeface="Arial" panose="020B0604020202020204" pitchFamily="34" charset="0"/>
              </a:rPr>
              <a:t>Entwicklung</a:t>
            </a:r>
            <a:r>
              <a:rPr lang="de-CH" sz="1400" baseline="0">
                <a:latin typeface="Arial" panose="020B0604020202020204" pitchFamily="34" charset="0"/>
                <a:cs typeface="Arial" panose="020B0604020202020204" pitchFamily="34" charset="0"/>
              </a:rPr>
              <a:t> der Pflichtigen, des Reineinkommens und Reinvermögens sowie der einfachen Kantonssteuer (indexiert), 2001 </a:t>
            </a:r>
            <a:r>
              <a:rPr lang="de-CH" sz="1200" b="1" i="0" u="none" strike="noStrike" baseline="0">
                <a:effectLst/>
              </a:rPr>
              <a:t>–</a:t>
            </a:r>
            <a:r>
              <a:rPr lang="de-CH" sz="1400" baseline="0">
                <a:latin typeface="Arial" panose="020B0604020202020204" pitchFamily="34" charset="0"/>
                <a:cs typeface="Arial" panose="020B0604020202020204" pitchFamily="34" charset="0"/>
              </a:rPr>
              <a:t> 2014</a:t>
            </a:r>
            <a:endParaRPr lang="de-CH" sz="14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5.4900041700394919E-2"/>
          <c:y val="0.21618060922756185"/>
          <c:w val="0.69629296994905865"/>
          <c:h val="0.71122320424248175"/>
        </c:manualLayout>
      </c:layout>
      <c:lineChart>
        <c:grouping val="standard"/>
        <c:varyColors val="0"/>
        <c:ser>
          <c:idx val="0"/>
          <c:order val="0"/>
          <c:tx>
            <c:strRef>
              <c:f>'T 26b'!$Q$21</c:f>
              <c:strCache>
                <c:ptCount val="1"/>
                <c:pt idx="0">
                  <c:v>Pflichtige</c:v>
                </c:pt>
              </c:strCache>
            </c:strRef>
          </c:tx>
          <c:spPr>
            <a:ln>
              <a:solidFill>
                <a:srgbClr val="D8BFB5"/>
              </a:solidFill>
            </a:ln>
          </c:spPr>
          <c:marker>
            <c:symbol val="none"/>
          </c:marker>
          <c:cat>
            <c:numRef>
              <c:f>'T 26b'!$P$22:$P$35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26b'!$Q$22:$Q$35</c:f>
              <c:numCache>
                <c:formatCode>0</c:formatCode>
                <c:ptCount val="14"/>
                <c:pt idx="0" formatCode="General">
                  <c:v>100</c:v>
                </c:pt>
                <c:pt idx="1">
                  <c:v>101.54142641691483</c:v>
                </c:pt>
                <c:pt idx="2">
                  <c:v>103.33672755559809</c:v>
                </c:pt>
                <c:pt idx="3">
                  <c:v>104.97780826619727</c:v>
                </c:pt>
                <c:pt idx="4">
                  <c:v>106.50311809206954</c:v>
                </c:pt>
                <c:pt idx="5">
                  <c:v>107.99648440109466</c:v>
                </c:pt>
                <c:pt idx="6">
                  <c:v>109.59953165494456</c:v>
                </c:pt>
                <c:pt idx="7">
                  <c:v>111.14945790770585</c:v>
                </c:pt>
                <c:pt idx="8">
                  <c:v>113.122915160912</c:v>
                </c:pt>
                <c:pt idx="9">
                  <c:v>115.14416520782009</c:v>
                </c:pt>
                <c:pt idx="10">
                  <c:v>116.95773722488624</c:v>
                </c:pt>
                <c:pt idx="11">
                  <c:v>118.90995380706597</c:v>
                </c:pt>
                <c:pt idx="12">
                  <c:v>120.72537472202092</c:v>
                </c:pt>
                <c:pt idx="13">
                  <c:v>122.51969571548082</c:v>
                </c:pt>
              </c:numCache>
            </c:numRef>
          </c:val>
          <c:smooth val="0"/>
          <c:extLst>
            <c:ext xmlns:c16="http://schemas.microsoft.com/office/drawing/2014/chart" uri="{C3380CC4-5D6E-409C-BE32-E72D297353CC}">
              <c16:uniqueId val="{00000000-5998-451B-A271-35BD3A7C3264}"/>
            </c:ext>
          </c:extLst>
        </c:ser>
        <c:ser>
          <c:idx val="1"/>
          <c:order val="1"/>
          <c:tx>
            <c:strRef>
              <c:f>'T 26b'!$R$21</c:f>
              <c:strCache>
                <c:ptCount val="1"/>
                <c:pt idx="0">
                  <c:v>Reineinkommen</c:v>
                </c:pt>
              </c:strCache>
            </c:strRef>
          </c:tx>
          <c:spPr>
            <a:ln>
              <a:solidFill>
                <a:srgbClr val="EEE5CE"/>
              </a:solidFill>
            </a:ln>
          </c:spPr>
          <c:marker>
            <c:symbol val="none"/>
          </c:marker>
          <c:cat>
            <c:numRef>
              <c:f>'T 26b'!$P$22:$P$35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26b'!$R$22:$R$35</c:f>
              <c:numCache>
                <c:formatCode>0</c:formatCode>
                <c:ptCount val="14"/>
                <c:pt idx="0" formatCode="General">
                  <c:v>100</c:v>
                </c:pt>
                <c:pt idx="1">
                  <c:v>101.77161514465232</c:v>
                </c:pt>
                <c:pt idx="2">
                  <c:v>102.91184166216784</c:v>
                </c:pt>
                <c:pt idx="3">
                  <c:v>105.06644932735281</c:v>
                </c:pt>
                <c:pt idx="4">
                  <c:v>107.27654495640869</c:v>
                </c:pt>
                <c:pt idx="5">
                  <c:v>110.05102589866536</c:v>
                </c:pt>
                <c:pt idx="6">
                  <c:v>115.26889620666203</c:v>
                </c:pt>
                <c:pt idx="7">
                  <c:v>119.38801852434131</c:v>
                </c:pt>
                <c:pt idx="8">
                  <c:v>122.51960333567229</c:v>
                </c:pt>
                <c:pt idx="9">
                  <c:v>125.92776936255436</c:v>
                </c:pt>
                <c:pt idx="10">
                  <c:v>129.83389985547541</c:v>
                </c:pt>
                <c:pt idx="11">
                  <c:v>132.85539323792617</c:v>
                </c:pt>
                <c:pt idx="12">
                  <c:v>135.56121018538738</c:v>
                </c:pt>
                <c:pt idx="13">
                  <c:v>137.48691867303495</c:v>
                </c:pt>
              </c:numCache>
            </c:numRef>
          </c:val>
          <c:smooth val="0"/>
          <c:extLst>
            <c:ext xmlns:c16="http://schemas.microsoft.com/office/drawing/2014/chart" uri="{C3380CC4-5D6E-409C-BE32-E72D297353CC}">
              <c16:uniqueId val="{00000001-5998-451B-A271-35BD3A7C3264}"/>
            </c:ext>
          </c:extLst>
        </c:ser>
        <c:ser>
          <c:idx val="2"/>
          <c:order val="2"/>
          <c:tx>
            <c:strRef>
              <c:f>'T 26b'!$S$21</c:f>
              <c:strCache>
                <c:ptCount val="1"/>
                <c:pt idx="0">
                  <c:v>Reinvermögen</c:v>
                </c:pt>
              </c:strCache>
            </c:strRef>
          </c:tx>
          <c:spPr>
            <a:ln>
              <a:solidFill>
                <a:srgbClr val="7F6E51"/>
              </a:solidFill>
            </a:ln>
          </c:spPr>
          <c:marker>
            <c:symbol val="none"/>
          </c:marker>
          <c:cat>
            <c:numRef>
              <c:f>'T 26b'!$P$22:$P$35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26b'!$S$22:$S$35</c:f>
              <c:numCache>
                <c:formatCode>0</c:formatCode>
                <c:ptCount val="14"/>
                <c:pt idx="0" formatCode="General">
                  <c:v>100</c:v>
                </c:pt>
                <c:pt idx="1">
                  <c:v>99.918261724186578</c:v>
                </c:pt>
                <c:pt idx="2">
                  <c:v>104.44141454713272</c:v>
                </c:pt>
                <c:pt idx="3">
                  <c:v>105.15731128080677</c:v>
                </c:pt>
                <c:pt idx="4">
                  <c:v>110.6754888422814</c:v>
                </c:pt>
                <c:pt idx="5">
                  <c:v>115.1135724080812</c:v>
                </c:pt>
                <c:pt idx="6">
                  <c:v>116.8520243588481</c:v>
                </c:pt>
                <c:pt idx="7">
                  <c:v>108.40503913897686</c:v>
                </c:pt>
                <c:pt idx="8">
                  <c:v>115.51898177769712</c:v>
                </c:pt>
                <c:pt idx="9">
                  <c:v>117.48833070080269</c:v>
                </c:pt>
                <c:pt idx="10">
                  <c:v>121.47007659012775</c:v>
                </c:pt>
                <c:pt idx="11">
                  <c:v>129.29057289648088</c:v>
                </c:pt>
                <c:pt idx="12">
                  <c:v>135.05669032195985</c:v>
                </c:pt>
                <c:pt idx="13">
                  <c:v>136.97619793137906</c:v>
                </c:pt>
              </c:numCache>
            </c:numRef>
          </c:val>
          <c:smooth val="0"/>
          <c:extLst>
            <c:ext xmlns:c16="http://schemas.microsoft.com/office/drawing/2014/chart" uri="{C3380CC4-5D6E-409C-BE32-E72D297353CC}">
              <c16:uniqueId val="{00000002-5998-451B-A271-35BD3A7C3264}"/>
            </c:ext>
          </c:extLst>
        </c:ser>
        <c:ser>
          <c:idx val="3"/>
          <c:order val="3"/>
          <c:tx>
            <c:strRef>
              <c:f>'T 26b'!$T$21</c:f>
              <c:strCache>
                <c:ptCount val="1"/>
                <c:pt idx="0">
                  <c:v>Kantonssteuer</c:v>
                </c:pt>
              </c:strCache>
            </c:strRef>
          </c:tx>
          <c:spPr>
            <a:ln>
              <a:solidFill>
                <a:schemeClr val="tx1">
                  <a:lumMod val="85000"/>
                  <a:lumOff val="15000"/>
                </a:schemeClr>
              </a:solidFill>
            </a:ln>
          </c:spPr>
          <c:marker>
            <c:symbol val="none"/>
          </c:marker>
          <c:cat>
            <c:numRef>
              <c:f>'T 26b'!$P$22:$P$35</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'T 26b'!$T$22:$T$35</c:f>
              <c:numCache>
                <c:formatCode>0</c:formatCode>
                <c:ptCount val="14"/>
                <c:pt idx="0" formatCode="General">
                  <c:v>100</c:v>
                </c:pt>
                <c:pt idx="1">
                  <c:v>95.437591253559205</c:v>
                </c:pt>
                <c:pt idx="2">
                  <c:v>97.260982782861078</c:v>
                </c:pt>
                <c:pt idx="3">
                  <c:v>99.586606887187486</c:v>
                </c:pt>
                <c:pt idx="4">
                  <c:v>103.24326442254568</c:v>
                </c:pt>
                <c:pt idx="5">
                  <c:v>107.44208738896835</c:v>
                </c:pt>
                <c:pt idx="6">
                  <c:v>112.13241948378858</c:v>
                </c:pt>
                <c:pt idx="7">
                  <c:v>115.72436768945134</c:v>
                </c:pt>
                <c:pt idx="8">
                  <c:v>114.14481026414877</c:v>
                </c:pt>
                <c:pt idx="9">
                  <c:v>117.88938677088458</c:v>
                </c:pt>
                <c:pt idx="10">
                  <c:v>122.48614278363424</c:v>
                </c:pt>
                <c:pt idx="11">
                  <c:v>126.33133017466879</c:v>
                </c:pt>
                <c:pt idx="12">
                  <c:v>130.14726672483795</c:v>
                </c:pt>
                <c:pt idx="13">
                  <c:v>127.26590858406183</c:v>
                </c:pt>
              </c:numCache>
            </c:numRef>
          </c:val>
          <c:smooth val="0"/>
          <c:extLst>
            <c:ext xmlns:c16="http://schemas.microsoft.com/office/drawing/2014/chart" uri="{C3380CC4-5D6E-409C-BE32-E72D297353CC}">
              <c16:uniqueId val="{00000003-5998-451B-A271-35BD3A7C3264}"/>
            </c:ext>
          </c:extLst>
        </c:ser>
        <c:dLbls>
          <c:showLegendKey val="0"/>
          <c:showVal val="0"/>
          <c:showCatName val="0"/>
          <c:showSerName val="0"/>
          <c:showPercent val="0"/>
          <c:showBubbleSize val="0"/>
        </c:dLbls>
        <c:smooth val="0"/>
        <c:axId val="149367424"/>
        <c:axId val="149385600"/>
      </c:lineChart>
      <c:catAx>
        <c:axId val="14936742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9385600"/>
        <c:crosses val="autoZero"/>
        <c:auto val="1"/>
        <c:lblAlgn val="ctr"/>
        <c:lblOffset val="100"/>
        <c:noMultiLvlLbl val="0"/>
      </c:catAx>
      <c:valAx>
        <c:axId val="149385600"/>
        <c:scaling>
          <c:orientation val="minMax"/>
          <c:min val="75"/>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CH" b="0">
                    <a:latin typeface="Arial" panose="020B0604020202020204" pitchFamily="34" charset="0"/>
                    <a:cs typeface="Arial" panose="020B0604020202020204" pitchFamily="34" charset="0"/>
                  </a:rPr>
                  <a:t>Index</a:t>
                </a:r>
              </a:p>
            </c:rich>
          </c:tx>
          <c:layout>
            <c:manualLayout>
              <c:xMode val="edge"/>
              <c:yMode val="edge"/>
              <c:x val="1.2461059190031152E-2"/>
              <c:y val="0.15005479566976798"/>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9367424"/>
        <c:crosses val="autoZero"/>
        <c:crossBetween val="midCat"/>
        <c:majorUnit val="25"/>
      </c:valAx>
    </c:plotArea>
    <c:legend>
      <c:legendPos val="r"/>
      <c:layout>
        <c:manualLayout>
          <c:xMode val="edge"/>
          <c:yMode val="edge"/>
          <c:x val="0.7866276242407938"/>
          <c:y val="0.2066315055092188"/>
          <c:w val="0.2118148174973529"/>
          <c:h val="0.2089641183586467"/>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345C-4954-B77E-B9C82B3448C4}"/>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345C-4954-B77E-B9C82B3448C4}"/>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345C-4954-B77E-B9C82B3448C4}"/>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345C-4954-B77E-B9C82B3448C4}"/>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345C-4954-B77E-B9C82B3448C4}"/>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345C-4954-B77E-B9C82B3448C4}"/>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345C-4954-B77E-B9C82B3448C4}"/>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345C-4954-B77E-B9C82B3448C4}"/>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345C-4954-B77E-B9C82B3448C4}"/>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345C-4954-B77E-B9C82B3448C4}"/>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345C-4954-B77E-B9C82B3448C4}"/>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345C-4954-B77E-B9C82B3448C4}"/>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345C-4954-B77E-B9C82B3448C4}"/>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345C-4954-B77E-B9C82B3448C4}"/>
            </c:ext>
          </c:extLst>
        </c:ser>
        <c:dLbls>
          <c:showLegendKey val="0"/>
          <c:showVal val="0"/>
          <c:showCatName val="0"/>
          <c:showSerName val="0"/>
          <c:showPercent val="0"/>
          <c:showBubbleSize val="0"/>
        </c:dLbls>
        <c:gapWidth val="150"/>
        <c:axId val="113568384"/>
        <c:axId val="114110848"/>
      </c:barChart>
      <c:catAx>
        <c:axId val="113568384"/>
        <c:scaling>
          <c:orientation val="minMax"/>
        </c:scaling>
        <c:delete val="0"/>
        <c:axPos val="b"/>
        <c:numFmt formatCode="General" sourceLinked="1"/>
        <c:majorTickMark val="out"/>
        <c:minorTickMark val="none"/>
        <c:tickLblPos val="nextTo"/>
        <c:crossAx val="114110848"/>
        <c:crosses val="autoZero"/>
        <c:auto val="1"/>
        <c:lblAlgn val="ctr"/>
        <c:lblOffset val="100"/>
        <c:noMultiLvlLbl val="0"/>
      </c:catAx>
      <c:valAx>
        <c:axId val="114110848"/>
        <c:scaling>
          <c:orientation val="minMax"/>
        </c:scaling>
        <c:delete val="0"/>
        <c:axPos val="l"/>
        <c:majorGridlines/>
        <c:numFmt formatCode="General" sourceLinked="1"/>
        <c:majorTickMark val="out"/>
        <c:minorTickMark val="none"/>
        <c:tickLblPos val="nextTo"/>
        <c:crossAx val="1135683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2573-43F4-8341-30CC89257BF1}"/>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2573-43F4-8341-30CC89257BF1}"/>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2573-43F4-8341-30CC89257BF1}"/>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2573-43F4-8341-30CC89257BF1}"/>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2573-43F4-8341-30CC89257BF1}"/>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2573-43F4-8341-30CC89257BF1}"/>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2573-43F4-8341-30CC89257BF1}"/>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2573-43F4-8341-30CC89257BF1}"/>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2573-43F4-8341-30CC89257BF1}"/>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2573-43F4-8341-30CC89257BF1}"/>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2573-43F4-8341-30CC89257BF1}"/>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2573-43F4-8341-30CC89257BF1}"/>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2573-43F4-8341-30CC89257BF1}"/>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2573-43F4-8341-30CC89257BF1}"/>
            </c:ext>
          </c:extLst>
        </c:ser>
        <c:dLbls>
          <c:showLegendKey val="0"/>
          <c:showVal val="0"/>
          <c:showCatName val="0"/>
          <c:showSerName val="0"/>
          <c:showPercent val="0"/>
          <c:showBubbleSize val="0"/>
        </c:dLbls>
        <c:gapWidth val="150"/>
        <c:axId val="114182784"/>
        <c:axId val="114192768"/>
      </c:barChart>
      <c:catAx>
        <c:axId val="114182784"/>
        <c:scaling>
          <c:orientation val="minMax"/>
        </c:scaling>
        <c:delete val="0"/>
        <c:axPos val="b"/>
        <c:numFmt formatCode="General" sourceLinked="1"/>
        <c:majorTickMark val="out"/>
        <c:minorTickMark val="none"/>
        <c:tickLblPos val="nextTo"/>
        <c:crossAx val="114192768"/>
        <c:crosses val="autoZero"/>
        <c:auto val="1"/>
        <c:lblAlgn val="ctr"/>
        <c:lblOffset val="100"/>
        <c:noMultiLvlLbl val="0"/>
      </c:catAx>
      <c:valAx>
        <c:axId val="114192768"/>
        <c:scaling>
          <c:orientation val="minMax"/>
        </c:scaling>
        <c:delete val="0"/>
        <c:axPos val="l"/>
        <c:majorGridlines/>
        <c:numFmt formatCode="General" sourceLinked="1"/>
        <c:majorTickMark val="out"/>
        <c:minorTickMark val="none"/>
        <c:tickLblPos val="nextTo"/>
        <c:crossAx val="114182784"/>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Reineinkommen der Steuerpflichtigen mit Wohnsitz im Kanton Aargau nach Altersklassen, in Franken pro Pflichtigen, 2014</a:t>
            </a:r>
          </a:p>
        </c:rich>
      </c:tx>
      <c:overlay val="0"/>
    </c:title>
    <c:autoTitleDeleted val="0"/>
    <c:plotArea>
      <c:layout>
        <c:manualLayout>
          <c:layoutTarget val="inner"/>
          <c:xMode val="edge"/>
          <c:yMode val="edge"/>
          <c:x val="0.12520200945397797"/>
          <c:y val="0.27613383456803858"/>
          <c:w val="0.70935982510785656"/>
          <c:h val="0.61030105626401498"/>
        </c:manualLayout>
      </c:layout>
      <c:barChart>
        <c:barDir val="col"/>
        <c:grouping val="clustered"/>
        <c:varyColors val="0"/>
        <c:ser>
          <c:idx val="0"/>
          <c:order val="0"/>
          <c:tx>
            <c:strRef>
              <c:f>'T 7'!$O$50</c:f>
              <c:strCache>
                <c:ptCount val="1"/>
                <c:pt idx="0">
                  <c:v>Reineinkommen in Franken pro Pflichtigen</c:v>
                </c:pt>
              </c:strCache>
            </c:strRef>
          </c:tx>
          <c:spPr>
            <a:solidFill>
              <a:srgbClr val="545F60"/>
            </a:solidFill>
          </c:spPr>
          <c:invertIfNegative val="0"/>
          <c:cat>
            <c:strRef>
              <c:f>'T 7'!$N$51:$N$57</c:f>
              <c:strCache>
                <c:ptCount val="7"/>
                <c:pt idx="0">
                  <c:v>0 - 19</c:v>
                </c:pt>
                <c:pt idx="1">
                  <c:v>20 - 29</c:v>
                </c:pt>
                <c:pt idx="2">
                  <c:v>30 - 39</c:v>
                </c:pt>
                <c:pt idx="3">
                  <c:v>40 - 49</c:v>
                </c:pt>
                <c:pt idx="4">
                  <c:v>50 - 59</c:v>
                </c:pt>
                <c:pt idx="5">
                  <c:v>60 - 64</c:v>
                </c:pt>
                <c:pt idx="6">
                  <c:v>65 +</c:v>
                </c:pt>
              </c:strCache>
            </c:strRef>
          </c:cat>
          <c:val>
            <c:numRef>
              <c:f>'T 7'!$O$51:$O$57</c:f>
              <c:numCache>
                <c:formatCode>_ * #,##0_ ;_ * \-#,##0_ ;_ * "-"??_ ;_ @_ </c:formatCode>
                <c:ptCount val="7"/>
                <c:pt idx="0">
                  <c:v>6217.363738</c:v>
                </c:pt>
                <c:pt idx="1">
                  <c:v>33929.122960000001</c:v>
                </c:pt>
                <c:pt idx="2">
                  <c:v>68810.167400000006</c:v>
                </c:pt>
                <c:pt idx="3">
                  <c:v>87565.143700000001</c:v>
                </c:pt>
                <c:pt idx="4">
                  <c:v>89918.821939999994</c:v>
                </c:pt>
                <c:pt idx="5">
                  <c:v>82164.080199999997</c:v>
                </c:pt>
                <c:pt idx="6">
                  <c:v>63259.072289999996</c:v>
                </c:pt>
              </c:numCache>
            </c:numRef>
          </c:val>
          <c:extLst>
            <c:ext xmlns:c16="http://schemas.microsoft.com/office/drawing/2014/chart" uri="{C3380CC4-5D6E-409C-BE32-E72D297353CC}">
              <c16:uniqueId val="{00000000-1C3F-4F66-B5EA-B105E72E370E}"/>
            </c:ext>
          </c:extLst>
        </c:ser>
        <c:dLbls>
          <c:showLegendKey val="0"/>
          <c:showVal val="0"/>
          <c:showCatName val="0"/>
          <c:showSerName val="0"/>
          <c:showPercent val="0"/>
          <c:showBubbleSize val="0"/>
        </c:dLbls>
        <c:gapWidth val="150"/>
        <c:axId val="114222208"/>
        <c:axId val="114223744"/>
      </c:barChart>
      <c:lineChart>
        <c:grouping val="standard"/>
        <c:varyColors val="0"/>
        <c:ser>
          <c:idx val="1"/>
          <c:order val="1"/>
          <c:tx>
            <c:strRef>
              <c:f>'T 7'!$P$50</c:f>
              <c:strCache>
                <c:ptCount val="1"/>
                <c:pt idx="0">
                  <c:v>Durchschnitt</c:v>
                </c:pt>
              </c:strCache>
            </c:strRef>
          </c:tx>
          <c:marker>
            <c:symbol val="none"/>
          </c:marker>
          <c:cat>
            <c:strRef>
              <c:f>'T 7'!$N$51:$N$57</c:f>
              <c:strCache>
                <c:ptCount val="7"/>
                <c:pt idx="0">
                  <c:v>0 - 19</c:v>
                </c:pt>
                <c:pt idx="1">
                  <c:v>20 - 29</c:v>
                </c:pt>
                <c:pt idx="2">
                  <c:v>30 - 39</c:v>
                </c:pt>
                <c:pt idx="3">
                  <c:v>40 - 49</c:v>
                </c:pt>
                <c:pt idx="4">
                  <c:v>50 - 59</c:v>
                </c:pt>
                <c:pt idx="5">
                  <c:v>60 - 64</c:v>
                </c:pt>
                <c:pt idx="6">
                  <c:v>65 +</c:v>
                </c:pt>
              </c:strCache>
            </c:strRef>
          </c:cat>
          <c:val>
            <c:numRef>
              <c:f>'T 7'!$P$51:$P$57</c:f>
              <c:numCache>
                <c:formatCode>_(* #,##0_);_(* \(#,##0\);_(* "-"??_);_(@_)</c:formatCode>
                <c:ptCount val="7"/>
                <c:pt idx="0">
                  <c:v>67029.508889999997</c:v>
                </c:pt>
                <c:pt idx="1">
                  <c:v>67029.508889999997</c:v>
                </c:pt>
                <c:pt idx="2">
                  <c:v>67029.508889999997</c:v>
                </c:pt>
                <c:pt idx="3">
                  <c:v>67029.508889999997</c:v>
                </c:pt>
                <c:pt idx="4">
                  <c:v>67029.508889999997</c:v>
                </c:pt>
                <c:pt idx="5">
                  <c:v>67029.508889999997</c:v>
                </c:pt>
                <c:pt idx="6">
                  <c:v>67029.508889999997</c:v>
                </c:pt>
              </c:numCache>
            </c:numRef>
          </c:val>
          <c:smooth val="0"/>
          <c:extLst>
            <c:ext xmlns:c16="http://schemas.microsoft.com/office/drawing/2014/chart" uri="{C3380CC4-5D6E-409C-BE32-E72D297353CC}">
              <c16:uniqueId val="{00000001-1C3F-4F66-B5EA-B105E72E370E}"/>
            </c:ext>
          </c:extLst>
        </c:ser>
        <c:dLbls>
          <c:showLegendKey val="0"/>
          <c:showVal val="0"/>
          <c:showCatName val="0"/>
          <c:showSerName val="0"/>
          <c:showPercent val="0"/>
          <c:showBubbleSize val="0"/>
        </c:dLbls>
        <c:marker val="1"/>
        <c:smooth val="0"/>
        <c:axId val="114222208"/>
        <c:axId val="114223744"/>
      </c:lineChart>
      <c:catAx>
        <c:axId val="114222208"/>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4223744"/>
        <c:crosses val="autoZero"/>
        <c:auto val="1"/>
        <c:lblAlgn val="ctr"/>
        <c:lblOffset val="100"/>
        <c:noMultiLvlLbl val="0"/>
      </c:catAx>
      <c:valAx>
        <c:axId val="114223744"/>
        <c:scaling>
          <c:orientation val="minMax"/>
        </c:scaling>
        <c:delete val="0"/>
        <c:axPos val="l"/>
        <c:majorGridlines/>
        <c:title>
          <c:tx>
            <c:rich>
              <a:bodyPr rot="0" vert="horz"/>
              <a:lstStyle/>
              <a:p>
                <a:pPr>
                  <a:defRPr b="0">
                    <a:latin typeface="Arial" panose="020B0604020202020204" pitchFamily="34" charset="0"/>
                    <a:cs typeface="Arial" panose="020B0604020202020204" pitchFamily="34" charset="0"/>
                  </a:defRPr>
                </a:pPr>
                <a:r>
                  <a:rPr lang="de-CH" b="0">
                    <a:latin typeface="Arial" panose="020B0604020202020204" pitchFamily="34" charset="0"/>
                    <a:cs typeface="Arial" panose="020B0604020202020204" pitchFamily="34" charset="0"/>
                  </a:rPr>
                  <a:t>in</a:t>
                </a:r>
                <a:r>
                  <a:rPr lang="de-CH" b="0" baseline="0">
                    <a:latin typeface="Arial" panose="020B0604020202020204" pitchFamily="34" charset="0"/>
                    <a:cs typeface="Arial" panose="020B0604020202020204" pitchFamily="34" charset="0"/>
                  </a:rPr>
                  <a:t> Franken pro Pflichtigen</a:t>
                </a:r>
                <a:endParaRPr lang="de-CH" b="0">
                  <a:latin typeface="Arial" panose="020B0604020202020204" pitchFamily="34" charset="0"/>
                  <a:cs typeface="Arial" panose="020B0604020202020204" pitchFamily="34" charset="0"/>
                </a:endParaRPr>
              </a:p>
            </c:rich>
          </c:tx>
          <c:layout>
            <c:manualLayout>
              <c:xMode val="edge"/>
              <c:yMode val="edge"/>
              <c:x val="4.9867992545157891E-2"/>
              <c:y val="0.20694643054087913"/>
            </c:manualLayout>
          </c:layout>
          <c:overlay val="0"/>
        </c:title>
        <c:numFmt formatCode="_ * #,##0_ ;_ * \-#,##0_ ;_ * &quot;-&quot;??_ ;_ @_ "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4222208"/>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effectLst/>
                <a:latin typeface="Arial" panose="020B0604020202020204" pitchFamily="34" charset="0"/>
                <a:cs typeface="Arial" panose="020B0604020202020204" pitchFamily="34" charset="0"/>
              </a:rPr>
              <a:t>Reinvermögen der Steuerpflichtigen mit Wohnsitz im Kanton Aargau nach Altersklassen, in Franken pro Pflichtigen, 2014</a:t>
            </a:r>
            <a:endParaRPr lang="de-CH" sz="140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2408947657552598"/>
          <c:y val="0.26477303135372721"/>
          <c:w val="0.71107984206992481"/>
          <c:h val="0.61286715516308832"/>
        </c:manualLayout>
      </c:layout>
      <c:barChart>
        <c:barDir val="col"/>
        <c:grouping val="clustered"/>
        <c:varyColors val="0"/>
        <c:ser>
          <c:idx val="0"/>
          <c:order val="1"/>
          <c:tx>
            <c:strRef>
              <c:f>'T 7'!$O$77</c:f>
              <c:strCache>
                <c:ptCount val="1"/>
                <c:pt idx="0">
                  <c:v>Reinvermögen in Franken pro Pflichtigen</c:v>
                </c:pt>
              </c:strCache>
            </c:strRef>
          </c:tx>
          <c:spPr>
            <a:solidFill>
              <a:srgbClr val="545F60"/>
            </a:solidFill>
          </c:spPr>
          <c:invertIfNegative val="0"/>
          <c:cat>
            <c:strRef>
              <c:f>'T 7'!$N$78:$N$84</c:f>
              <c:strCache>
                <c:ptCount val="7"/>
                <c:pt idx="0">
                  <c:v>0 - 19</c:v>
                </c:pt>
                <c:pt idx="1">
                  <c:v>20 - 29</c:v>
                </c:pt>
                <c:pt idx="2">
                  <c:v>30 - 39</c:v>
                </c:pt>
                <c:pt idx="3">
                  <c:v>40 - 49</c:v>
                </c:pt>
                <c:pt idx="4">
                  <c:v>50 - 59</c:v>
                </c:pt>
                <c:pt idx="5">
                  <c:v>60 - 64</c:v>
                </c:pt>
                <c:pt idx="6">
                  <c:v>65 +</c:v>
                </c:pt>
              </c:strCache>
            </c:strRef>
          </c:cat>
          <c:val>
            <c:numRef>
              <c:f>'T 7'!$O$78:$O$84</c:f>
              <c:numCache>
                <c:formatCode>_ * #,##0_ ;_ * \-#,##0_ ;_ * "-"??_ ;_ @_ </c:formatCode>
                <c:ptCount val="7"/>
                <c:pt idx="0">
                  <c:v>10482.06565</c:v>
                </c:pt>
                <c:pt idx="1">
                  <c:v>27751.89215</c:v>
                </c:pt>
                <c:pt idx="2">
                  <c:v>80859.484060000003</c:v>
                </c:pt>
                <c:pt idx="3">
                  <c:v>182269.50409999999</c:v>
                </c:pt>
                <c:pt idx="4">
                  <c:v>300216.09710000001</c:v>
                </c:pt>
                <c:pt idx="5">
                  <c:v>473174.3713</c:v>
                </c:pt>
                <c:pt idx="6">
                  <c:v>709808.39690000005</c:v>
                </c:pt>
              </c:numCache>
            </c:numRef>
          </c:val>
          <c:extLst>
            <c:ext xmlns:c16="http://schemas.microsoft.com/office/drawing/2014/chart" uri="{C3380CC4-5D6E-409C-BE32-E72D297353CC}">
              <c16:uniqueId val="{00000000-4C6B-4534-88EC-5130FB697B68}"/>
            </c:ext>
          </c:extLst>
        </c:ser>
        <c:dLbls>
          <c:showLegendKey val="0"/>
          <c:showVal val="0"/>
          <c:showCatName val="0"/>
          <c:showSerName val="0"/>
          <c:showPercent val="0"/>
          <c:showBubbleSize val="0"/>
        </c:dLbls>
        <c:gapWidth val="150"/>
        <c:axId val="115311744"/>
        <c:axId val="115313280"/>
      </c:barChart>
      <c:lineChart>
        <c:grouping val="standard"/>
        <c:varyColors val="0"/>
        <c:ser>
          <c:idx val="1"/>
          <c:order val="0"/>
          <c:tx>
            <c:strRef>
              <c:f>'T 7'!$P$77</c:f>
              <c:strCache>
                <c:ptCount val="1"/>
                <c:pt idx="0">
                  <c:v>Durchschnitt</c:v>
                </c:pt>
              </c:strCache>
            </c:strRef>
          </c:tx>
          <c:marker>
            <c:symbol val="none"/>
          </c:marker>
          <c:cat>
            <c:strRef>
              <c:f>'T 7'!$N$78:$N$84</c:f>
              <c:strCache>
                <c:ptCount val="7"/>
                <c:pt idx="0">
                  <c:v>0 - 19</c:v>
                </c:pt>
                <c:pt idx="1">
                  <c:v>20 - 29</c:v>
                </c:pt>
                <c:pt idx="2">
                  <c:v>30 - 39</c:v>
                </c:pt>
                <c:pt idx="3">
                  <c:v>40 - 49</c:v>
                </c:pt>
                <c:pt idx="4">
                  <c:v>50 - 59</c:v>
                </c:pt>
                <c:pt idx="5">
                  <c:v>60 - 64</c:v>
                </c:pt>
                <c:pt idx="6">
                  <c:v>65 +</c:v>
                </c:pt>
              </c:strCache>
            </c:strRef>
          </c:cat>
          <c:val>
            <c:numRef>
              <c:f>'T 7'!$P$78:$P$84</c:f>
              <c:numCache>
                <c:formatCode>_ * #,##0_ ;_ * \-#,##0_ ;_ * "-"??_ ;_ @_ </c:formatCode>
                <c:ptCount val="7"/>
                <c:pt idx="0">
                  <c:v>285740.06579999998</c:v>
                </c:pt>
                <c:pt idx="1">
                  <c:v>285740.06579999998</c:v>
                </c:pt>
                <c:pt idx="2">
                  <c:v>285740.06579999998</c:v>
                </c:pt>
                <c:pt idx="3">
                  <c:v>285740.06579999998</c:v>
                </c:pt>
                <c:pt idx="4">
                  <c:v>285740.06579999998</c:v>
                </c:pt>
                <c:pt idx="5">
                  <c:v>285740.06579999998</c:v>
                </c:pt>
                <c:pt idx="6">
                  <c:v>285740.06579999998</c:v>
                </c:pt>
              </c:numCache>
            </c:numRef>
          </c:val>
          <c:smooth val="0"/>
          <c:extLst>
            <c:ext xmlns:c16="http://schemas.microsoft.com/office/drawing/2014/chart" uri="{C3380CC4-5D6E-409C-BE32-E72D297353CC}">
              <c16:uniqueId val="{00000001-4C6B-4534-88EC-5130FB697B68}"/>
            </c:ext>
          </c:extLst>
        </c:ser>
        <c:dLbls>
          <c:showLegendKey val="0"/>
          <c:showVal val="0"/>
          <c:showCatName val="0"/>
          <c:showSerName val="0"/>
          <c:showPercent val="0"/>
          <c:showBubbleSize val="0"/>
        </c:dLbls>
        <c:marker val="1"/>
        <c:smooth val="0"/>
        <c:axId val="115311744"/>
        <c:axId val="115313280"/>
      </c:lineChart>
      <c:catAx>
        <c:axId val="11531174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5313280"/>
        <c:crosses val="autoZero"/>
        <c:auto val="1"/>
        <c:lblAlgn val="ctr"/>
        <c:lblOffset val="100"/>
        <c:noMultiLvlLbl val="0"/>
      </c:catAx>
      <c:valAx>
        <c:axId val="115313280"/>
        <c:scaling>
          <c:orientation val="minMax"/>
        </c:scaling>
        <c:delete val="0"/>
        <c:axPos val="l"/>
        <c:majorGridlines/>
        <c:title>
          <c:tx>
            <c:rich>
              <a:bodyPr rot="0" vert="horz"/>
              <a:lstStyle/>
              <a:p>
                <a:pPr>
                  <a:defRPr b="0"/>
                </a:pPr>
                <a:r>
                  <a:rPr lang="de-CH" b="0">
                    <a:latin typeface="Arial" panose="020B0604020202020204" pitchFamily="34" charset="0"/>
                    <a:cs typeface="Arial" panose="020B0604020202020204" pitchFamily="34" charset="0"/>
                  </a:rPr>
                  <a:t>in</a:t>
                </a:r>
                <a:r>
                  <a:rPr lang="de-CH" b="0" baseline="0">
                    <a:latin typeface="Arial" panose="020B0604020202020204" pitchFamily="34" charset="0"/>
                    <a:cs typeface="Arial" panose="020B0604020202020204" pitchFamily="34" charset="0"/>
                  </a:rPr>
                  <a:t> Franken pro Pflichtigen</a:t>
                </a:r>
                <a:endParaRPr lang="de-CH" b="0">
                  <a:latin typeface="Arial" panose="020B0604020202020204" pitchFamily="34" charset="0"/>
                  <a:cs typeface="Arial" panose="020B0604020202020204" pitchFamily="34" charset="0"/>
                </a:endParaRPr>
              </a:p>
            </c:rich>
          </c:tx>
          <c:layout>
            <c:manualLayout>
              <c:xMode val="edge"/>
              <c:yMode val="edge"/>
              <c:x val="5.2223582211342309E-2"/>
              <c:y val="0.17991611342699809"/>
            </c:manualLayout>
          </c:layout>
          <c:overlay val="0"/>
        </c:title>
        <c:numFmt formatCode="_ * #,##0_ ;_ * \-#,##0_ ;_ * &quot;-&quot;??_ ;_ @_ "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15311744"/>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1674-4DE4-AE96-FFD83CD9C553}"/>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1674-4DE4-AE96-FFD83CD9C553}"/>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1674-4DE4-AE96-FFD83CD9C553}"/>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1674-4DE4-AE96-FFD83CD9C553}"/>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1674-4DE4-AE96-FFD83CD9C553}"/>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1674-4DE4-AE96-FFD83CD9C553}"/>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1674-4DE4-AE96-FFD83CD9C553}"/>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1674-4DE4-AE96-FFD83CD9C553}"/>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1674-4DE4-AE96-FFD83CD9C553}"/>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1674-4DE4-AE96-FFD83CD9C553}"/>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1674-4DE4-AE96-FFD83CD9C553}"/>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1674-4DE4-AE96-FFD83CD9C553}"/>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1674-4DE4-AE96-FFD83CD9C553}"/>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1674-4DE4-AE96-FFD83CD9C553}"/>
            </c:ext>
          </c:extLst>
        </c:ser>
        <c:dLbls>
          <c:showLegendKey val="0"/>
          <c:showVal val="0"/>
          <c:showCatName val="0"/>
          <c:showSerName val="0"/>
          <c:showPercent val="0"/>
          <c:showBubbleSize val="0"/>
        </c:dLbls>
        <c:gapWidth val="150"/>
        <c:axId val="120084352"/>
        <c:axId val="120085888"/>
      </c:barChart>
      <c:catAx>
        <c:axId val="120084352"/>
        <c:scaling>
          <c:orientation val="minMax"/>
        </c:scaling>
        <c:delete val="0"/>
        <c:axPos val="b"/>
        <c:numFmt formatCode="General" sourceLinked="1"/>
        <c:majorTickMark val="out"/>
        <c:minorTickMark val="none"/>
        <c:tickLblPos val="nextTo"/>
        <c:crossAx val="120085888"/>
        <c:crosses val="autoZero"/>
        <c:auto val="1"/>
        <c:lblAlgn val="ctr"/>
        <c:lblOffset val="100"/>
        <c:noMultiLvlLbl val="0"/>
      </c:catAx>
      <c:valAx>
        <c:axId val="120085888"/>
        <c:scaling>
          <c:orientation val="minMax"/>
        </c:scaling>
        <c:delete val="0"/>
        <c:axPos val="l"/>
        <c:majorGridlines/>
        <c:numFmt formatCode="General" sourceLinked="1"/>
        <c:majorTickMark val="out"/>
        <c:minorTickMark val="none"/>
        <c:tickLblPos val="nextTo"/>
        <c:crossAx val="12008435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4467-48D2-B4EF-AB4FE76D0240}"/>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4467-48D2-B4EF-AB4FE76D0240}"/>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4467-48D2-B4EF-AB4FE76D0240}"/>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4467-48D2-B4EF-AB4FE76D0240}"/>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4467-48D2-B4EF-AB4FE76D0240}"/>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4467-48D2-B4EF-AB4FE76D0240}"/>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4467-48D2-B4EF-AB4FE76D0240}"/>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4467-48D2-B4EF-AB4FE76D0240}"/>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4467-48D2-B4EF-AB4FE76D0240}"/>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4467-48D2-B4EF-AB4FE76D0240}"/>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4467-48D2-B4EF-AB4FE76D0240}"/>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4467-48D2-B4EF-AB4FE76D0240}"/>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4467-48D2-B4EF-AB4FE76D0240}"/>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4467-48D2-B4EF-AB4FE76D0240}"/>
            </c:ext>
          </c:extLst>
        </c:ser>
        <c:dLbls>
          <c:showLegendKey val="0"/>
          <c:showVal val="0"/>
          <c:showCatName val="0"/>
          <c:showSerName val="0"/>
          <c:showPercent val="0"/>
          <c:showBubbleSize val="0"/>
        </c:dLbls>
        <c:gapWidth val="150"/>
        <c:axId val="123049856"/>
        <c:axId val="123051392"/>
      </c:barChart>
      <c:catAx>
        <c:axId val="123049856"/>
        <c:scaling>
          <c:orientation val="minMax"/>
        </c:scaling>
        <c:delete val="0"/>
        <c:axPos val="b"/>
        <c:numFmt formatCode="General" sourceLinked="1"/>
        <c:majorTickMark val="out"/>
        <c:minorTickMark val="none"/>
        <c:tickLblPos val="nextTo"/>
        <c:crossAx val="123051392"/>
        <c:crosses val="autoZero"/>
        <c:auto val="1"/>
        <c:lblAlgn val="ctr"/>
        <c:lblOffset val="100"/>
        <c:noMultiLvlLbl val="0"/>
      </c:catAx>
      <c:valAx>
        <c:axId val="123051392"/>
        <c:scaling>
          <c:orientation val="minMax"/>
        </c:scaling>
        <c:delete val="0"/>
        <c:axPos val="l"/>
        <c:majorGridlines/>
        <c:numFmt formatCode="General" sourceLinked="1"/>
        <c:majorTickMark val="out"/>
        <c:minorTickMark val="none"/>
        <c:tickLblPos val="nextTo"/>
        <c:crossAx val="12304985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451F-44D4-9DEE-B35AFC44A342}"/>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451F-44D4-9DEE-B35AFC44A342}"/>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451F-44D4-9DEE-B35AFC44A342}"/>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451F-44D4-9DEE-B35AFC44A342}"/>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451F-44D4-9DEE-B35AFC44A342}"/>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451F-44D4-9DEE-B35AFC44A342}"/>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451F-44D4-9DEE-B35AFC44A342}"/>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451F-44D4-9DEE-B35AFC44A342}"/>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451F-44D4-9DEE-B35AFC44A342}"/>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451F-44D4-9DEE-B35AFC44A342}"/>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451F-44D4-9DEE-B35AFC44A342}"/>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451F-44D4-9DEE-B35AFC44A342}"/>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451F-44D4-9DEE-B35AFC44A342}"/>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451F-44D4-9DEE-B35AFC44A342}"/>
            </c:ext>
          </c:extLst>
        </c:ser>
        <c:dLbls>
          <c:showLegendKey val="0"/>
          <c:showVal val="0"/>
          <c:showCatName val="0"/>
          <c:showSerName val="0"/>
          <c:showPercent val="0"/>
          <c:showBubbleSize val="0"/>
        </c:dLbls>
        <c:gapWidth val="150"/>
        <c:axId val="113583616"/>
        <c:axId val="113585152"/>
      </c:barChart>
      <c:catAx>
        <c:axId val="113583616"/>
        <c:scaling>
          <c:orientation val="minMax"/>
        </c:scaling>
        <c:delete val="0"/>
        <c:axPos val="b"/>
        <c:numFmt formatCode="General" sourceLinked="1"/>
        <c:majorTickMark val="out"/>
        <c:minorTickMark val="none"/>
        <c:tickLblPos val="nextTo"/>
        <c:crossAx val="113585152"/>
        <c:crosses val="autoZero"/>
        <c:auto val="1"/>
        <c:lblAlgn val="ctr"/>
        <c:lblOffset val="100"/>
        <c:noMultiLvlLbl val="0"/>
      </c:catAx>
      <c:valAx>
        <c:axId val="113585152"/>
        <c:scaling>
          <c:orientation val="minMax"/>
        </c:scaling>
        <c:delete val="0"/>
        <c:axPos val="l"/>
        <c:majorGridlines/>
        <c:numFmt formatCode="General" sourceLinked="1"/>
        <c:majorTickMark val="out"/>
        <c:minorTickMark val="none"/>
        <c:tickLblPos val="nextTo"/>
        <c:crossAx val="113583616"/>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0-CF8B-4477-836C-0DFA6F4D6269}"/>
            </c:ext>
          </c:extLst>
        </c:ser>
        <c:ser>
          <c:idx val="1"/>
          <c:order val="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1-CF8B-4477-836C-0DFA6F4D6269}"/>
            </c:ext>
          </c:extLst>
        </c:ser>
        <c:ser>
          <c:idx val="2"/>
          <c:order val="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2-CF8B-4477-836C-0DFA6F4D6269}"/>
            </c:ext>
          </c:extLst>
        </c:ser>
        <c:ser>
          <c:idx val="3"/>
          <c:order val="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3-CF8B-4477-836C-0DFA6F4D6269}"/>
            </c:ext>
          </c:extLst>
        </c:ser>
        <c:ser>
          <c:idx val="4"/>
          <c:order val="4"/>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4-CF8B-4477-836C-0DFA6F4D6269}"/>
            </c:ext>
          </c:extLst>
        </c:ser>
        <c:ser>
          <c:idx val="5"/>
          <c:order val="5"/>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5-CF8B-4477-836C-0DFA6F4D6269}"/>
            </c:ext>
          </c:extLst>
        </c:ser>
        <c:ser>
          <c:idx val="6"/>
          <c:order val="6"/>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6-CF8B-4477-836C-0DFA6F4D6269}"/>
            </c:ext>
          </c:extLst>
        </c:ser>
        <c:ser>
          <c:idx val="7"/>
          <c:order val="7"/>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7-CF8B-4477-836C-0DFA6F4D6269}"/>
            </c:ext>
          </c:extLst>
        </c:ser>
        <c:ser>
          <c:idx val="8"/>
          <c:order val="8"/>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8-CF8B-4477-836C-0DFA6F4D6269}"/>
            </c:ext>
          </c:extLst>
        </c:ser>
        <c:ser>
          <c:idx val="9"/>
          <c:order val="9"/>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9-CF8B-4477-836C-0DFA6F4D6269}"/>
            </c:ext>
          </c:extLst>
        </c:ser>
        <c:ser>
          <c:idx val="10"/>
          <c:order val="10"/>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A-CF8B-4477-836C-0DFA6F4D6269}"/>
            </c:ext>
          </c:extLst>
        </c:ser>
        <c:ser>
          <c:idx val="11"/>
          <c:order val="11"/>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B-CF8B-4477-836C-0DFA6F4D6269}"/>
            </c:ext>
          </c:extLst>
        </c:ser>
        <c:ser>
          <c:idx val="12"/>
          <c:order val="12"/>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C-CF8B-4477-836C-0DFA6F4D6269}"/>
            </c:ext>
          </c:extLst>
        </c:ser>
        <c:ser>
          <c:idx val="13"/>
          <c:order val="13"/>
          <c:invertIfNegative val="0"/>
          <c:val>
            <c:numRef>
              <c:f>'T 7'!#REF!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'T 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'T 7'!#REF!</c15:sqref>
                        </c15:formulaRef>
                      </c:ext>
                    </c:extLst>
                  </c:multiLvlStrRef>
                </c15:cat>
              </c15:filteredCategoryTitle>
            </c:ext>
            <c:ext xmlns:c16="http://schemas.microsoft.com/office/drawing/2014/chart" uri="{C3380CC4-5D6E-409C-BE32-E72D297353CC}">
              <c16:uniqueId val="{0000000D-CF8B-4477-836C-0DFA6F4D6269}"/>
            </c:ext>
          </c:extLst>
        </c:ser>
        <c:dLbls>
          <c:showLegendKey val="0"/>
          <c:showVal val="0"/>
          <c:showCatName val="0"/>
          <c:showSerName val="0"/>
          <c:showPercent val="0"/>
          <c:showBubbleSize val="0"/>
        </c:dLbls>
        <c:gapWidth val="150"/>
        <c:axId val="126195200"/>
        <c:axId val="126196736"/>
      </c:barChart>
      <c:catAx>
        <c:axId val="126195200"/>
        <c:scaling>
          <c:orientation val="minMax"/>
        </c:scaling>
        <c:delete val="0"/>
        <c:axPos val="b"/>
        <c:numFmt formatCode="General" sourceLinked="1"/>
        <c:majorTickMark val="out"/>
        <c:minorTickMark val="none"/>
        <c:tickLblPos val="nextTo"/>
        <c:crossAx val="126196736"/>
        <c:crosses val="autoZero"/>
        <c:auto val="1"/>
        <c:lblAlgn val="ctr"/>
        <c:lblOffset val="100"/>
        <c:noMultiLvlLbl val="0"/>
      </c:catAx>
      <c:valAx>
        <c:axId val="126196736"/>
        <c:scaling>
          <c:orientation val="minMax"/>
        </c:scaling>
        <c:delete val="0"/>
        <c:axPos val="l"/>
        <c:majorGridlines/>
        <c:numFmt formatCode="General" sourceLinked="1"/>
        <c:majorTickMark val="out"/>
        <c:minorTickMark val="none"/>
        <c:tickLblPos val="nextTo"/>
        <c:crossAx val="126195200"/>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0</xdr:col>
      <xdr:colOff>9524</xdr:colOff>
      <xdr:row>12</xdr:row>
      <xdr:rowOff>0</xdr:rowOff>
    </xdr:from>
    <xdr:to>
      <xdr:col>10</xdr:col>
      <xdr:colOff>3619499</xdr:colOff>
      <xdr:row>13</xdr:row>
      <xdr:rowOff>19050</xdr:rowOff>
    </xdr:to>
    <xdr:sp macro="" textlink="">
      <xdr:nvSpPr>
        <xdr:cNvPr id="1063" name="Rectangle 1"/>
        <xdr:cNvSpPr>
          <a:spLocks noChangeArrowheads="1"/>
        </xdr:cNvSpPr>
      </xdr:nvSpPr>
      <xdr:spPr bwMode="auto">
        <a:xfrm>
          <a:off x="9524" y="1885950"/>
          <a:ext cx="9144000" cy="114300"/>
        </a:xfrm>
        <a:prstGeom prst="rect">
          <a:avLst/>
        </a:prstGeom>
        <a:solidFill>
          <a:srgbClr xmlns:mc="http://schemas.openxmlformats.org/markup-compatibility/2006" xmlns:a14="http://schemas.microsoft.com/office/drawing/2010/main" val="545F60" mc:Ignorable="a14" a14:legacySpreadsheetColorIndex="2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123824</xdr:colOff>
      <xdr:row>14</xdr:row>
      <xdr:rowOff>0</xdr:rowOff>
    </xdr:from>
    <xdr:to>
      <xdr:col>8</xdr:col>
      <xdr:colOff>0</xdr:colOff>
      <xdr:row>14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123824</xdr:colOff>
      <xdr:row>14</xdr:row>
      <xdr:rowOff>0</xdr:rowOff>
    </xdr:from>
    <xdr:to>
      <xdr:col>7</xdr:col>
      <xdr:colOff>0</xdr:colOff>
      <xdr:row>14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15</xdr:row>
      <xdr:rowOff>23811</xdr:rowOff>
    </xdr:from>
    <xdr:to>
      <xdr:col>12</xdr:col>
      <xdr:colOff>142875</xdr:colOff>
      <xdr:row>46</xdr:row>
      <xdr:rowOff>114299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0.87648</cdr:x>
      <cdr:y>0.96086</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688930" y="4910148"/>
          <a:ext cx="1083595" cy="2000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9525</xdr:colOff>
      <xdr:row>15</xdr:row>
      <xdr:rowOff>9526</xdr:rowOff>
    </xdr:from>
    <xdr:to>
      <xdr:col>11</xdr:col>
      <xdr:colOff>571500</xdr:colOff>
      <xdr:row>46</xdr:row>
      <xdr:rowOff>66675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0.87402</cdr:x>
      <cdr:y>0.9606</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517480" y="4876809"/>
          <a:ext cx="1083595" cy="2000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123824</xdr:colOff>
      <xdr:row>17</xdr:row>
      <xdr:rowOff>0</xdr:rowOff>
    </xdr:from>
    <xdr:to>
      <xdr:col>10</xdr:col>
      <xdr:colOff>0</xdr:colOff>
      <xdr:row>17</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xdr:colOff>
      <xdr:row>18</xdr:row>
      <xdr:rowOff>128587</xdr:rowOff>
    </xdr:from>
    <xdr:to>
      <xdr:col>10</xdr:col>
      <xdr:colOff>612776</xdr:colOff>
      <xdr:row>47</xdr:row>
      <xdr:rowOff>62192</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0.86914</cdr:x>
      <cdr:y>0.95679</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196827" y="4429392"/>
          <a:ext cx="1083573" cy="2000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38100</xdr:colOff>
      <xdr:row>20</xdr:row>
      <xdr:rowOff>138112</xdr:rowOff>
    </xdr:from>
    <xdr:to>
      <xdr:col>9</xdr:col>
      <xdr:colOff>619125</xdr:colOff>
      <xdr:row>46</xdr:row>
      <xdr:rowOff>76200</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41</xdr:row>
      <xdr:rowOff>71437</xdr:rowOff>
    </xdr:from>
    <xdr:to>
      <xdr:col>9</xdr:col>
      <xdr:colOff>200025</xdr:colOff>
      <xdr:row>70</xdr:row>
      <xdr:rowOff>123825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0.85168</cdr:x>
      <cdr:y>0.95178</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222080" y="3948123"/>
          <a:ext cx="1083595" cy="2000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57149</xdr:colOff>
      <xdr:row>1</xdr:row>
      <xdr:rowOff>161924</xdr:rowOff>
    </xdr:from>
    <xdr:to>
      <xdr:col>11</xdr:col>
      <xdr:colOff>104774</xdr:colOff>
      <xdr:row>51</xdr:row>
      <xdr:rowOff>66675</xdr:rowOff>
    </xdr:to>
    <xdr:grpSp>
      <xdr:nvGrpSpPr>
        <xdr:cNvPr id="7" name="Gruppieren 6"/>
        <xdr:cNvGrpSpPr/>
      </xdr:nvGrpSpPr>
      <xdr:grpSpPr>
        <a:xfrm>
          <a:off x="190499" y="361949"/>
          <a:ext cx="7667625" cy="8001001"/>
          <a:chOff x="150428" y="358993"/>
          <a:chExt cx="7667625" cy="8115958"/>
        </a:xfrm>
      </xdr:grpSpPr>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48" t="1571" b="4185"/>
          <a:stretch/>
        </xdr:blipFill>
        <xdr:spPr>
          <a:xfrm>
            <a:off x="150428" y="358993"/>
            <a:ext cx="7667625" cy="8115958"/>
          </a:xfrm>
          <a:prstGeom prst="rect">
            <a:avLst/>
          </a:prstGeom>
        </xdr:spPr>
      </xdr:pic>
      <xdr:sp macro="" textlink="">
        <xdr:nvSpPr>
          <xdr:cNvPr id="3" name="Rechteck 2"/>
          <xdr:cNvSpPr/>
        </xdr:nvSpPr>
        <xdr:spPr>
          <a:xfrm>
            <a:off x="6383334" y="8098654"/>
            <a:ext cx="1076326" cy="2223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CH" sz="800">
                <a:solidFill>
                  <a:sysClr val="windowText" lastClr="000000"/>
                </a:solidFill>
                <a:latin typeface="Arial" panose="020B0604020202020204" pitchFamily="34" charset="0"/>
                <a:cs typeface="Arial" panose="020B0604020202020204" pitchFamily="34" charset="0"/>
              </a:rPr>
              <a:t>© Kanton Aargau</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0.86024</cdr:x>
      <cdr:y>0.95536</cdr:y>
    </cdr:from>
    <cdr:to>
      <cdr:x>1</cdr:x>
      <cdr:y>0.99642</cdr:y>
    </cdr:to>
    <cdr:sp macro="" textlink="">
      <cdr:nvSpPr>
        <cdr:cNvPr id="2" name="Text Box 1"/>
        <cdr:cNvSpPr txBox="1">
          <a:spLocks xmlns:a="http://schemas.openxmlformats.org/drawingml/2006/main" noChangeArrowheads="1"/>
        </cdr:cNvSpPr>
      </cdr:nvSpPr>
      <cdr:spPr bwMode="auto">
        <a:xfrm xmlns:a="http://schemas.openxmlformats.org/drawingml/2006/main">
          <a:off x="6669742" y="4654550"/>
          <a:ext cx="1083608" cy="2000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123824</xdr:colOff>
      <xdr:row>12</xdr:row>
      <xdr:rowOff>0</xdr:rowOff>
    </xdr:from>
    <xdr:to>
      <xdr:col>8</xdr:col>
      <xdr:colOff>0</xdr:colOff>
      <xdr:row>12</xdr:row>
      <xdr:rowOff>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123824</xdr:colOff>
      <xdr:row>12</xdr:row>
      <xdr:rowOff>0</xdr:rowOff>
    </xdr:from>
    <xdr:to>
      <xdr:col>8</xdr:col>
      <xdr:colOff>0</xdr:colOff>
      <xdr:row>12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40</xdr:row>
      <xdr:rowOff>42862</xdr:rowOff>
    </xdr:from>
    <xdr:to>
      <xdr:col>7</xdr:col>
      <xdr:colOff>752475</xdr:colOff>
      <xdr:row>66</xdr:row>
      <xdr:rowOff>76200</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68</xdr:row>
      <xdr:rowOff>142875</xdr:rowOff>
    </xdr:from>
    <xdr:to>
      <xdr:col>7</xdr:col>
      <xdr:colOff>771525</xdr:colOff>
      <xdr:row>94</xdr:row>
      <xdr:rowOff>95250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0.86024</cdr:x>
      <cdr:y>0.95527</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69755" y="4271973"/>
          <a:ext cx="1083595" cy="2000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7.xml><?xml version="1.0" encoding="utf-8"?>
<c:userShapes xmlns:c="http://schemas.openxmlformats.org/drawingml/2006/chart">
  <cdr:relSizeAnchor xmlns:cdr="http://schemas.openxmlformats.org/drawingml/2006/chartDrawing">
    <cdr:from>
      <cdr:x>0.86075</cdr:x>
      <cdr:y>0.95445</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98330" y="4191010"/>
          <a:ext cx="1083595" cy="2000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CH" sz="900" b="0" i="0" u="none" strike="noStrike" baseline="0">
              <a:solidFill>
                <a:srgbClr val="000000"/>
              </a:solidFill>
              <a:latin typeface="Arial"/>
              <a:cs typeface="Arial"/>
            </a:rPr>
            <a:t>© Kanton Aargau</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123824</xdr:colOff>
      <xdr:row>13</xdr:row>
      <xdr:rowOff>0</xdr:rowOff>
    </xdr:from>
    <xdr:to>
      <xdr:col>8</xdr:col>
      <xdr:colOff>0</xdr:colOff>
      <xdr:row>13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123824</xdr:colOff>
      <xdr:row>13</xdr:row>
      <xdr:rowOff>0</xdr:rowOff>
    </xdr:from>
    <xdr:to>
      <xdr:col>8</xdr:col>
      <xdr:colOff>0</xdr:colOff>
      <xdr:row>13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g.ch/statistik"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5"/>
  <sheetViews>
    <sheetView showGridLines="0" tabSelected="1" zoomScaleNormal="100" zoomScaleSheetLayoutView="100" workbookViewId="0">
      <selection activeCell="E10" sqref="E10"/>
    </sheetView>
  </sheetViews>
  <sheetFormatPr baseColWidth="10" defaultRowHeight="12.75" x14ac:dyDescent="0.2"/>
  <cols>
    <col min="1" max="1" width="1.5703125" style="2" customWidth="1"/>
    <col min="2" max="2" width="7.42578125" style="2" customWidth="1"/>
    <col min="3" max="3" width="4.28515625" style="13" customWidth="1"/>
    <col min="4" max="4" width="2.140625" style="2" customWidth="1"/>
    <col min="5" max="10" width="11.42578125" style="2"/>
    <col min="11" max="11" width="54.85546875" style="2" customWidth="1"/>
    <col min="12" max="16384" width="11.42578125" style="2"/>
  </cols>
  <sheetData>
    <row r="1" spans="1:28" x14ac:dyDescent="0.2">
      <c r="A1" s="221" t="s">
        <v>8</v>
      </c>
      <c r="B1" s="221"/>
      <c r="C1" s="222"/>
      <c r="D1" s="221"/>
      <c r="E1" s="221"/>
      <c r="K1" s="3"/>
    </row>
    <row r="2" spans="1:28" ht="12" customHeight="1" x14ac:dyDescent="0.2">
      <c r="A2" s="268" t="s">
        <v>6</v>
      </c>
      <c r="B2" s="268"/>
      <c r="C2" s="268"/>
      <c r="D2" s="268"/>
      <c r="E2" s="268"/>
    </row>
    <row r="3" spans="1:28" x14ac:dyDescent="0.2">
      <c r="A3" s="15" t="s">
        <v>7</v>
      </c>
      <c r="B3" s="15"/>
      <c r="C3" s="16"/>
      <c r="D3" s="15"/>
      <c r="E3" s="15"/>
    </row>
    <row r="4" spans="1:28" x14ac:dyDescent="0.2">
      <c r="A4" s="17"/>
      <c r="B4" s="17"/>
      <c r="C4" s="18"/>
      <c r="D4" s="17"/>
      <c r="E4" s="17"/>
    </row>
    <row r="5" spans="1:28" s="4" customFormat="1" ht="12" x14ac:dyDescent="0.2"/>
    <row r="6" spans="1:28" s="4" customFormat="1" ht="12" x14ac:dyDescent="0.2"/>
    <row r="7" spans="1:28" s="4" customFormat="1" ht="12" x14ac:dyDescent="0.2"/>
    <row r="11" spans="1:28" ht="20.25" x14ac:dyDescent="0.3">
      <c r="K11" s="5" t="s">
        <v>586</v>
      </c>
    </row>
    <row r="12" spans="1:28" ht="3.75" customHeight="1" x14ac:dyDescent="0.3">
      <c r="K12" s="5"/>
    </row>
    <row r="13" spans="1:28" ht="7.5" customHeight="1" x14ac:dyDescent="0.2"/>
    <row r="14" spans="1:28" ht="8.25" customHeight="1" x14ac:dyDescent="0.2"/>
    <row r="15" spans="1:28" ht="8.25" customHeight="1" x14ac:dyDescent="0.2">
      <c r="B15" s="247"/>
      <c r="C15" s="248"/>
      <c r="D15" s="247"/>
      <c r="E15" s="247"/>
      <c r="F15" s="247"/>
      <c r="G15" s="247"/>
      <c r="H15" s="247"/>
      <c r="I15" s="247"/>
      <c r="J15" s="247"/>
      <c r="K15" s="247"/>
      <c r="L15" s="247"/>
      <c r="M15" s="247"/>
    </row>
    <row r="16" spans="1:28" ht="16.5" customHeight="1" x14ac:dyDescent="0.2">
      <c r="B16" s="247"/>
      <c r="C16" s="248"/>
      <c r="D16" s="247"/>
      <c r="E16" s="247"/>
      <c r="F16" s="247"/>
      <c r="G16" s="247"/>
      <c r="H16" s="247"/>
      <c r="I16" s="247"/>
      <c r="J16" s="247"/>
      <c r="K16" s="247"/>
      <c r="L16" s="247"/>
      <c r="M16" s="247"/>
      <c r="AA16" s="49"/>
      <c r="AB16" s="54"/>
    </row>
    <row r="17" spans="1:37" ht="16.5" customHeight="1" x14ac:dyDescent="0.25">
      <c r="A17" s="55" t="s">
        <v>5</v>
      </c>
      <c r="B17" s="249"/>
      <c r="C17" s="247"/>
      <c r="D17" s="247"/>
      <c r="E17" s="247"/>
      <c r="F17" s="247"/>
      <c r="G17" s="247"/>
      <c r="H17" s="247"/>
      <c r="I17" s="247"/>
      <c r="J17" s="247"/>
      <c r="K17" s="247"/>
      <c r="L17" s="247"/>
      <c r="M17" s="247"/>
      <c r="AA17" s="55"/>
      <c r="AB17" s="56"/>
    </row>
    <row r="18" spans="1:37" ht="15.75" x14ac:dyDescent="0.25">
      <c r="A18" s="55"/>
      <c r="B18" s="249"/>
      <c r="C18" s="247"/>
      <c r="D18" s="247"/>
      <c r="E18" s="247"/>
      <c r="F18" s="247"/>
      <c r="G18" s="247"/>
      <c r="H18" s="247"/>
      <c r="I18" s="247"/>
      <c r="J18" s="247"/>
      <c r="K18" s="247"/>
      <c r="L18" s="247"/>
      <c r="M18" s="247"/>
      <c r="AA18" s="49"/>
      <c r="AB18" s="54"/>
    </row>
    <row r="19" spans="1:37" x14ac:dyDescent="0.2">
      <c r="B19" s="250" t="s">
        <v>590</v>
      </c>
      <c r="C19" s="251"/>
      <c r="D19" s="247"/>
      <c r="E19" s="247"/>
      <c r="F19" s="247"/>
      <c r="G19" s="247"/>
      <c r="H19" s="247"/>
      <c r="I19" s="247"/>
      <c r="J19" s="247"/>
      <c r="K19" s="247"/>
      <c r="L19" s="247"/>
      <c r="M19" s="247"/>
      <c r="AB19" s="49"/>
      <c r="AC19" s="50"/>
      <c r="AD19" s="51"/>
      <c r="AE19" s="269"/>
      <c r="AF19" s="266"/>
      <c r="AG19" s="266"/>
      <c r="AH19" s="266"/>
      <c r="AI19" s="266"/>
      <c r="AJ19" s="266"/>
      <c r="AK19" s="266"/>
    </row>
    <row r="20" spans="1:37" ht="12.75" customHeight="1" x14ac:dyDescent="0.2">
      <c r="B20" s="252" t="s">
        <v>9</v>
      </c>
      <c r="C20" s="253" t="s">
        <v>21</v>
      </c>
      <c r="D20" s="254"/>
      <c r="E20" s="267" t="s">
        <v>589</v>
      </c>
      <c r="F20" s="263"/>
      <c r="G20" s="263"/>
      <c r="H20" s="263"/>
      <c r="I20" s="263"/>
      <c r="J20" s="263"/>
      <c r="K20" s="263"/>
      <c r="L20" s="247"/>
      <c r="M20" s="247"/>
      <c r="AB20" s="49"/>
      <c r="AC20" s="50"/>
      <c r="AD20" s="51"/>
      <c r="AE20" s="269"/>
      <c r="AF20" s="266"/>
      <c r="AG20" s="266"/>
      <c r="AH20" s="266"/>
      <c r="AI20" s="266"/>
      <c r="AJ20" s="266"/>
      <c r="AK20" s="266"/>
    </row>
    <row r="21" spans="1:37" x14ac:dyDescent="0.2">
      <c r="B21" s="252" t="s">
        <v>9</v>
      </c>
      <c r="C21" s="253" t="s">
        <v>22</v>
      </c>
      <c r="D21" s="254"/>
      <c r="E21" s="267" t="s">
        <v>591</v>
      </c>
      <c r="F21" s="263"/>
      <c r="G21" s="263"/>
      <c r="H21" s="263"/>
      <c r="I21" s="263"/>
      <c r="J21" s="263"/>
      <c r="K21" s="263"/>
      <c r="L21" s="247"/>
      <c r="M21" s="247"/>
      <c r="AB21" s="49"/>
      <c r="AC21" s="50"/>
      <c r="AD21" s="51"/>
      <c r="AE21" s="266"/>
      <c r="AF21" s="266"/>
      <c r="AG21" s="266"/>
      <c r="AH21" s="266"/>
      <c r="AI21" s="266"/>
      <c r="AJ21" s="266"/>
      <c r="AK21" s="266"/>
    </row>
    <row r="22" spans="1:37" x14ac:dyDescent="0.2">
      <c r="B22" s="252"/>
      <c r="C22" s="255"/>
      <c r="D22" s="254"/>
      <c r="E22" s="256"/>
      <c r="F22" s="257"/>
      <c r="G22" s="257"/>
      <c r="H22" s="257"/>
      <c r="I22" s="257"/>
      <c r="J22" s="257"/>
      <c r="K22" s="257"/>
      <c r="L22" s="247"/>
      <c r="M22" s="247"/>
      <c r="AB22" s="49"/>
      <c r="AC22" s="50"/>
      <c r="AD22" s="51"/>
      <c r="AE22" s="266"/>
      <c r="AF22" s="266"/>
      <c r="AG22" s="266"/>
      <c r="AH22" s="266"/>
      <c r="AI22" s="266"/>
      <c r="AJ22" s="266"/>
      <c r="AK22" s="266"/>
    </row>
    <row r="23" spans="1:37" ht="12.75" customHeight="1" x14ac:dyDescent="0.2">
      <c r="B23" s="250" t="s">
        <v>27</v>
      </c>
      <c r="C23" s="255"/>
      <c r="D23" s="254"/>
      <c r="E23" s="256"/>
      <c r="F23" s="257"/>
      <c r="G23" s="257"/>
      <c r="H23" s="257"/>
      <c r="I23" s="257"/>
      <c r="J23" s="257"/>
      <c r="K23" s="257"/>
      <c r="L23" s="247"/>
      <c r="M23" s="247"/>
      <c r="AB23" s="49"/>
      <c r="AC23" s="50"/>
      <c r="AD23" s="51"/>
      <c r="AE23" s="266"/>
      <c r="AF23" s="266"/>
      <c r="AG23" s="266"/>
      <c r="AH23" s="266"/>
      <c r="AI23" s="266"/>
      <c r="AJ23" s="266"/>
      <c r="AK23" s="266"/>
    </row>
    <row r="24" spans="1:37" ht="12.75" customHeight="1" x14ac:dyDescent="0.2">
      <c r="B24" s="252" t="s">
        <v>9</v>
      </c>
      <c r="C24" s="253" t="s">
        <v>23</v>
      </c>
      <c r="D24" s="254"/>
      <c r="E24" s="263" t="s">
        <v>592</v>
      </c>
      <c r="F24" s="263"/>
      <c r="G24" s="263"/>
      <c r="H24" s="263"/>
      <c r="I24" s="263"/>
      <c r="J24" s="263"/>
      <c r="K24" s="263"/>
      <c r="L24" s="247"/>
      <c r="M24" s="247"/>
      <c r="AB24" s="49"/>
      <c r="AC24" s="50"/>
      <c r="AD24" s="51"/>
      <c r="AE24" s="264"/>
      <c r="AF24" s="264"/>
      <c r="AG24" s="264"/>
      <c r="AH24" s="264"/>
      <c r="AI24" s="264"/>
      <c r="AJ24" s="264"/>
      <c r="AK24" s="264"/>
    </row>
    <row r="25" spans="1:37" x14ac:dyDescent="0.2">
      <c r="B25" s="252" t="s">
        <v>9</v>
      </c>
      <c r="C25" s="253" t="s">
        <v>24</v>
      </c>
      <c r="D25" s="254"/>
      <c r="E25" s="263" t="s">
        <v>593</v>
      </c>
      <c r="F25" s="263"/>
      <c r="G25" s="263"/>
      <c r="H25" s="263"/>
      <c r="I25" s="263"/>
      <c r="J25" s="263"/>
      <c r="K25" s="263"/>
      <c r="L25" s="247"/>
      <c r="M25" s="247"/>
      <c r="AB25" s="49"/>
      <c r="AC25" s="57"/>
      <c r="AD25" s="51"/>
      <c r="AE25" s="264"/>
      <c r="AF25" s="264"/>
      <c r="AG25" s="264"/>
      <c r="AH25" s="264"/>
      <c r="AI25" s="264"/>
      <c r="AJ25" s="264"/>
      <c r="AK25" s="264"/>
    </row>
    <row r="26" spans="1:37" x14ac:dyDescent="0.2">
      <c r="B26" s="252" t="s">
        <v>9</v>
      </c>
      <c r="C26" s="253" t="s">
        <v>25</v>
      </c>
      <c r="D26" s="254"/>
      <c r="E26" s="263" t="s">
        <v>594</v>
      </c>
      <c r="F26" s="263"/>
      <c r="G26" s="263"/>
      <c r="H26" s="263"/>
      <c r="I26" s="263"/>
      <c r="J26" s="263"/>
      <c r="K26" s="263"/>
      <c r="L26" s="247"/>
      <c r="M26" s="247"/>
      <c r="AB26" s="49"/>
      <c r="AC26" s="57"/>
      <c r="AD26" s="51"/>
      <c r="AE26" s="53"/>
      <c r="AF26" s="53"/>
      <c r="AG26" s="53"/>
      <c r="AH26" s="53"/>
      <c r="AI26" s="53"/>
      <c r="AJ26" s="53"/>
      <c r="AK26" s="53"/>
    </row>
    <row r="27" spans="1:37" x14ac:dyDescent="0.2">
      <c r="B27" s="252"/>
      <c r="C27" s="253"/>
      <c r="D27" s="254"/>
      <c r="E27" s="257"/>
      <c r="F27" s="257"/>
      <c r="G27" s="257"/>
      <c r="H27" s="257"/>
      <c r="I27" s="257"/>
      <c r="J27" s="257"/>
      <c r="K27" s="257"/>
      <c r="L27" s="247"/>
      <c r="M27" s="247"/>
      <c r="AB27" s="49"/>
      <c r="AC27" s="57"/>
      <c r="AD27" s="51"/>
      <c r="AE27" s="67"/>
      <c r="AF27" s="67"/>
      <c r="AG27" s="67"/>
      <c r="AH27" s="67"/>
      <c r="AI27" s="67"/>
      <c r="AJ27" s="67"/>
      <c r="AK27" s="67"/>
    </row>
    <row r="28" spans="1:37" x14ac:dyDescent="0.2">
      <c r="B28" s="250" t="s">
        <v>633</v>
      </c>
      <c r="C28" s="253"/>
      <c r="D28" s="254"/>
      <c r="E28" s="257"/>
      <c r="F28" s="257"/>
      <c r="G28" s="257"/>
      <c r="H28" s="257"/>
      <c r="I28" s="257"/>
      <c r="J28" s="257"/>
      <c r="K28" s="257"/>
      <c r="L28" s="247"/>
      <c r="M28" s="247"/>
      <c r="AB28" s="49"/>
      <c r="AC28" s="57"/>
      <c r="AD28" s="51"/>
      <c r="AE28" s="67"/>
      <c r="AF28" s="67"/>
      <c r="AG28" s="67"/>
      <c r="AH28" s="67"/>
      <c r="AI28" s="67"/>
      <c r="AJ28" s="67"/>
      <c r="AK28" s="67"/>
    </row>
    <row r="29" spans="1:37" x14ac:dyDescent="0.2">
      <c r="B29" s="252" t="s">
        <v>9</v>
      </c>
      <c r="C29" s="253" t="s">
        <v>371</v>
      </c>
      <c r="D29" s="252"/>
      <c r="E29" s="263" t="s">
        <v>595</v>
      </c>
      <c r="F29" s="263"/>
      <c r="G29" s="263"/>
      <c r="H29" s="263"/>
      <c r="I29" s="263"/>
      <c r="J29" s="263"/>
      <c r="K29" s="263"/>
      <c r="L29" s="247"/>
      <c r="M29" s="247"/>
      <c r="AB29" s="49"/>
      <c r="AC29" s="57"/>
      <c r="AD29" s="51"/>
      <c r="AE29" s="60"/>
      <c r="AF29" s="60"/>
      <c r="AG29" s="60"/>
      <c r="AH29" s="60"/>
      <c r="AI29" s="60"/>
      <c r="AJ29" s="60"/>
      <c r="AK29" s="60"/>
    </row>
    <row r="30" spans="1:37" x14ac:dyDescent="0.2">
      <c r="B30" s="252" t="s">
        <v>9</v>
      </c>
      <c r="C30" s="253" t="s">
        <v>372</v>
      </c>
      <c r="D30" s="254"/>
      <c r="E30" s="263" t="s">
        <v>596</v>
      </c>
      <c r="F30" s="263"/>
      <c r="G30" s="263"/>
      <c r="H30" s="263"/>
      <c r="I30" s="263"/>
      <c r="J30" s="263"/>
      <c r="K30" s="263"/>
      <c r="L30" s="247"/>
      <c r="M30" s="247"/>
      <c r="AB30" s="49"/>
      <c r="AC30" s="50"/>
      <c r="AD30" s="51"/>
      <c r="AE30" s="264"/>
      <c r="AF30" s="264"/>
      <c r="AG30" s="264"/>
      <c r="AH30" s="264"/>
      <c r="AI30" s="264"/>
      <c r="AJ30" s="264"/>
      <c r="AK30" s="264"/>
    </row>
    <row r="31" spans="1:37" x14ac:dyDescent="0.2">
      <c r="B31" s="252" t="s">
        <v>9</v>
      </c>
      <c r="C31" s="253" t="s">
        <v>373</v>
      </c>
      <c r="D31" s="254"/>
      <c r="E31" s="263" t="s">
        <v>597</v>
      </c>
      <c r="F31" s="263"/>
      <c r="G31" s="263"/>
      <c r="H31" s="263"/>
      <c r="I31" s="263"/>
      <c r="J31" s="263"/>
      <c r="K31" s="263"/>
      <c r="L31" s="247"/>
      <c r="M31" s="247"/>
      <c r="AB31" s="49"/>
      <c r="AC31" s="50"/>
      <c r="AD31" s="51"/>
      <c r="AE31" s="264"/>
      <c r="AF31" s="264"/>
      <c r="AG31" s="264"/>
      <c r="AH31" s="264"/>
      <c r="AI31" s="264"/>
      <c r="AJ31" s="264"/>
      <c r="AK31" s="264"/>
    </row>
    <row r="32" spans="1:37" x14ac:dyDescent="0.2">
      <c r="B32" s="252" t="s">
        <v>9</v>
      </c>
      <c r="C32" s="253" t="s">
        <v>374</v>
      </c>
      <c r="D32" s="254"/>
      <c r="E32" s="263" t="s">
        <v>598</v>
      </c>
      <c r="F32" s="263"/>
      <c r="G32" s="263"/>
      <c r="H32" s="263"/>
      <c r="I32" s="263"/>
      <c r="J32" s="263"/>
      <c r="K32" s="263"/>
      <c r="L32" s="247"/>
      <c r="M32" s="247"/>
      <c r="AB32" s="49"/>
      <c r="AC32" s="50"/>
      <c r="AD32" s="51"/>
      <c r="AE32" s="264"/>
      <c r="AF32" s="264"/>
      <c r="AG32" s="264"/>
      <c r="AH32" s="264"/>
      <c r="AI32" s="264"/>
      <c r="AJ32" s="264"/>
      <c r="AK32" s="264"/>
    </row>
    <row r="33" spans="2:37" x14ac:dyDescent="0.2">
      <c r="B33" s="252" t="s">
        <v>9</v>
      </c>
      <c r="C33" s="253" t="s">
        <v>375</v>
      </c>
      <c r="D33" s="254"/>
      <c r="E33" s="263" t="s">
        <v>600</v>
      </c>
      <c r="F33" s="263"/>
      <c r="G33" s="263"/>
      <c r="H33" s="263"/>
      <c r="I33" s="263"/>
      <c r="J33" s="263"/>
      <c r="K33" s="263"/>
      <c r="L33" s="247"/>
      <c r="M33" s="247"/>
      <c r="AB33" s="49"/>
      <c r="AC33" s="50"/>
      <c r="AD33" s="51"/>
      <c r="AE33" s="270"/>
      <c r="AF33" s="264"/>
      <c r="AG33" s="264"/>
      <c r="AH33" s="264"/>
      <c r="AI33" s="264"/>
      <c r="AJ33" s="264"/>
      <c r="AK33" s="264"/>
    </row>
    <row r="34" spans="2:37" ht="6" customHeight="1" x14ac:dyDescent="0.2">
      <c r="B34" s="252"/>
      <c r="C34" s="253"/>
      <c r="D34" s="254"/>
      <c r="E34" s="258"/>
      <c r="F34" s="258"/>
      <c r="G34" s="258"/>
      <c r="H34" s="258"/>
      <c r="I34" s="258"/>
      <c r="J34" s="258"/>
      <c r="K34" s="258"/>
      <c r="L34" s="247"/>
      <c r="M34" s="247"/>
      <c r="AB34" s="49"/>
      <c r="AC34" s="50"/>
      <c r="AD34" s="51"/>
      <c r="AE34" s="68"/>
      <c r="AF34" s="67"/>
      <c r="AG34" s="67"/>
      <c r="AH34" s="67"/>
      <c r="AI34" s="67"/>
      <c r="AJ34" s="67"/>
      <c r="AK34" s="67"/>
    </row>
    <row r="35" spans="2:37" x14ac:dyDescent="0.2">
      <c r="B35" s="252" t="s">
        <v>28</v>
      </c>
      <c r="C35" s="253" t="s">
        <v>487</v>
      </c>
      <c r="D35" s="254"/>
      <c r="E35" s="263" t="s">
        <v>613</v>
      </c>
      <c r="F35" s="263"/>
      <c r="G35" s="263"/>
      <c r="H35" s="263"/>
      <c r="I35" s="263"/>
      <c r="J35" s="263"/>
      <c r="K35" s="263"/>
      <c r="L35" s="247"/>
      <c r="M35" s="247"/>
      <c r="AB35" s="49"/>
      <c r="AC35" s="50"/>
      <c r="AD35" s="51"/>
      <c r="AE35" s="68"/>
      <c r="AF35" s="67"/>
      <c r="AG35" s="67"/>
      <c r="AH35" s="67"/>
      <c r="AI35" s="67"/>
      <c r="AJ35" s="67"/>
      <c r="AK35" s="67"/>
    </row>
    <row r="36" spans="2:37" x14ac:dyDescent="0.2">
      <c r="B36" s="252" t="s">
        <v>28</v>
      </c>
      <c r="C36" s="253" t="s">
        <v>488</v>
      </c>
      <c r="D36" s="254"/>
      <c r="E36" s="263" t="s">
        <v>614</v>
      </c>
      <c r="F36" s="263"/>
      <c r="G36" s="263"/>
      <c r="H36" s="263"/>
      <c r="I36" s="263"/>
      <c r="J36" s="263"/>
      <c r="K36" s="263"/>
      <c r="L36" s="247"/>
      <c r="M36" s="247"/>
      <c r="AB36" s="49"/>
      <c r="AC36" s="50"/>
      <c r="AD36" s="51"/>
      <c r="AE36" s="68"/>
      <c r="AF36" s="67"/>
      <c r="AG36" s="67"/>
      <c r="AH36" s="67"/>
      <c r="AI36" s="67"/>
      <c r="AJ36" s="67"/>
      <c r="AK36" s="67"/>
    </row>
    <row r="37" spans="2:37" x14ac:dyDescent="0.2">
      <c r="B37" s="252" t="s">
        <v>28</v>
      </c>
      <c r="C37" s="253" t="s">
        <v>489</v>
      </c>
      <c r="D37" s="254"/>
      <c r="E37" s="263" t="s">
        <v>615</v>
      </c>
      <c r="F37" s="263"/>
      <c r="G37" s="263"/>
      <c r="H37" s="263"/>
      <c r="I37" s="263"/>
      <c r="J37" s="263"/>
      <c r="K37" s="263"/>
      <c r="L37" s="247"/>
      <c r="M37" s="247"/>
      <c r="AB37" s="49"/>
      <c r="AC37" s="50"/>
      <c r="AD37" s="51"/>
      <c r="AE37" s="68"/>
      <c r="AF37" s="67"/>
      <c r="AG37" s="67"/>
      <c r="AH37" s="67"/>
      <c r="AI37" s="67"/>
      <c r="AJ37" s="67"/>
      <c r="AK37" s="67"/>
    </row>
    <row r="38" spans="2:37" x14ac:dyDescent="0.2">
      <c r="B38" s="252" t="s">
        <v>28</v>
      </c>
      <c r="C38" s="253" t="s">
        <v>490</v>
      </c>
      <c r="D38" s="254"/>
      <c r="E38" s="263" t="s">
        <v>616</v>
      </c>
      <c r="F38" s="263"/>
      <c r="G38" s="263"/>
      <c r="H38" s="263"/>
      <c r="I38" s="263"/>
      <c r="J38" s="263"/>
      <c r="K38" s="263"/>
      <c r="L38" s="247"/>
      <c r="M38" s="247"/>
      <c r="AB38" s="49"/>
      <c r="AC38" s="50"/>
      <c r="AD38" s="51"/>
      <c r="AE38" s="68"/>
      <c r="AF38" s="67"/>
      <c r="AG38" s="67"/>
      <c r="AH38" s="67"/>
      <c r="AI38" s="67"/>
      <c r="AJ38" s="67"/>
      <c r="AK38" s="67"/>
    </row>
    <row r="39" spans="2:37" x14ac:dyDescent="0.2">
      <c r="B39" s="252" t="s">
        <v>28</v>
      </c>
      <c r="C39" s="253" t="s">
        <v>491</v>
      </c>
      <c r="D39" s="254"/>
      <c r="E39" s="263" t="s">
        <v>617</v>
      </c>
      <c r="F39" s="263"/>
      <c r="G39" s="263"/>
      <c r="H39" s="263"/>
      <c r="I39" s="263"/>
      <c r="J39" s="263"/>
      <c r="K39" s="263"/>
      <c r="L39" s="247"/>
      <c r="M39" s="247"/>
      <c r="AB39" s="49"/>
      <c r="AC39" s="50"/>
      <c r="AD39" s="51"/>
      <c r="AE39" s="68"/>
      <c r="AF39" s="67"/>
      <c r="AG39" s="67"/>
      <c r="AH39" s="67"/>
      <c r="AI39" s="67"/>
      <c r="AJ39" s="67"/>
      <c r="AK39" s="67"/>
    </row>
    <row r="40" spans="2:37" x14ac:dyDescent="0.2">
      <c r="B40" s="252" t="s">
        <v>28</v>
      </c>
      <c r="C40" s="253" t="s">
        <v>492</v>
      </c>
      <c r="D40" s="254"/>
      <c r="E40" s="263" t="s">
        <v>618</v>
      </c>
      <c r="F40" s="263"/>
      <c r="G40" s="263"/>
      <c r="H40" s="263"/>
      <c r="I40" s="263"/>
      <c r="J40" s="263"/>
      <c r="K40" s="263"/>
      <c r="L40" s="247"/>
      <c r="M40" s="247"/>
      <c r="AB40" s="49"/>
      <c r="AC40" s="50"/>
      <c r="AD40" s="51"/>
      <c r="AE40" s="68"/>
      <c r="AF40" s="67"/>
      <c r="AG40" s="67"/>
      <c r="AH40" s="67"/>
      <c r="AI40" s="67"/>
      <c r="AJ40" s="67"/>
      <c r="AK40" s="67"/>
    </row>
    <row r="41" spans="2:37" x14ac:dyDescent="0.2">
      <c r="B41" s="252" t="s">
        <v>28</v>
      </c>
      <c r="C41" s="253" t="s">
        <v>493</v>
      </c>
      <c r="D41" s="254"/>
      <c r="E41" s="263" t="s">
        <v>666</v>
      </c>
      <c r="F41" s="263"/>
      <c r="G41" s="263"/>
      <c r="H41" s="263"/>
      <c r="I41" s="263"/>
      <c r="J41" s="263"/>
      <c r="K41" s="263"/>
      <c r="L41" s="247"/>
      <c r="M41" s="247"/>
      <c r="AB41" s="49"/>
      <c r="AC41" s="50"/>
      <c r="AD41" s="51"/>
      <c r="AE41" s="142"/>
      <c r="AF41" s="141"/>
      <c r="AG41" s="141"/>
      <c r="AH41" s="141"/>
      <c r="AI41" s="141"/>
      <c r="AJ41" s="141"/>
      <c r="AK41" s="141"/>
    </row>
    <row r="42" spans="2:37" x14ac:dyDescent="0.2">
      <c r="B42" s="252" t="s">
        <v>28</v>
      </c>
      <c r="C42" s="253" t="s">
        <v>494</v>
      </c>
      <c r="D42" s="254"/>
      <c r="E42" s="263" t="s">
        <v>619</v>
      </c>
      <c r="F42" s="263"/>
      <c r="G42" s="263"/>
      <c r="H42" s="263"/>
      <c r="I42" s="263"/>
      <c r="J42" s="263"/>
      <c r="K42" s="263"/>
      <c r="L42" s="247"/>
      <c r="M42" s="247"/>
      <c r="AB42" s="49"/>
      <c r="AC42" s="50"/>
      <c r="AD42" s="51"/>
      <c r="AE42" s="142"/>
      <c r="AF42" s="141"/>
      <c r="AG42" s="141"/>
      <c r="AH42" s="141"/>
      <c r="AI42" s="141"/>
      <c r="AJ42" s="141"/>
      <c r="AK42" s="141"/>
    </row>
    <row r="43" spans="2:37" x14ac:dyDescent="0.2">
      <c r="B43" s="252" t="s">
        <v>28</v>
      </c>
      <c r="C43" s="253" t="s">
        <v>495</v>
      </c>
      <c r="D43" s="254"/>
      <c r="E43" s="263" t="s">
        <v>620</v>
      </c>
      <c r="F43" s="263"/>
      <c r="G43" s="263"/>
      <c r="H43" s="263"/>
      <c r="I43" s="263"/>
      <c r="J43" s="263"/>
      <c r="K43" s="263"/>
      <c r="L43" s="247"/>
      <c r="M43" s="247"/>
      <c r="AB43" s="49"/>
      <c r="AC43" s="50"/>
      <c r="AD43" s="51"/>
      <c r="AE43" s="142"/>
      <c r="AF43" s="141"/>
      <c r="AG43" s="141"/>
      <c r="AH43" s="141"/>
      <c r="AI43" s="141"/>
      <c r="AJ43" s="141"/>
      <c r="AK43" s="141"/>
    </row>
    <row r="44" spans="2:37" x14ac:dyDescent="0.2">
      <c r="B44" s="252" t="s">
        <v>28</v>
      </c>
      <c r="C44" s="253" t="s">
        <v>496</v>
      </c>
      <c r="D44" s="254"/>
      <c r="E44" s="263" t="s">
        <v>640</v>
      </c>
      <c r="F44" s="263"/>
      <c r="G44" s="263"/>
      <c r="H44" s="263"/>
      <c r="I44" s="263"/>
      <c r="J44" s="263"/>
      <c r="K44" s="263"/>
      <c r="L44" s="247"/>
      <c r="M44" s="247"/>
      <c r="AB44" s="49"/>
      <c r="AC44" s="50"/>
      <c r="AD44" s="51"/>
      <c r="AE44" s="142"/>
      <c r="AF44" s="141"/>
      <c r="AG44" s="141"/>
      <c r="AH44" s="141"/>
      <c r="AI44" s="141"/>
      <c r="AJ44" s="141"/>
      <c r="AK44" s="141"/>
    </row>
    <row r="45" spans="2:37" x14ac:dyDescent="0.2">
      <c r="B45" s="252"/>
      <c r="C45" s="253"/>
      <c r="D45" s="254"/>
      <c r="E45" s="258"/>
      <c r="F45" s="258"/>
      <c r="G45" s="258"/>
      <c r="H45" s="258"/>
      <c r="I45" s="258"/>
      <c r="J45" s="258"/>
      <c r="K45" s="258"/>
      <c r="L45" s="247"/>
      <c r="M45" s="247"/>
      <c r="AB45" s="49"/>
      <c r="AC45" s="50"/>
      <c r="AD45" s="51"/>
      <c r="AE45" s="68"/>
      <c r="AF45" s="67"/>
      <c r="AG45" s="67"/>
      <c r="AH45" s="67"/>
      <c r="AI45" s="67"/>
      <c r="AJ45" s="67"/>
      <c r="AK45" s="67"/>
    </row>
    <row r="46" spans="2:37" x14ac:dyDescent="0.2">
      <c r="B46" s="250" t="s">
        <v>647</v>
      </c>
      <c r="C46" s="253"/>
      <c r="D46" s="254"/>
      <c r="E46" s="258"/>
      <c r="F46" s="258"/>
      <c r="G46" s="258"/>
      <c r="H46" s="258"/>
      <c r="I46" s="258"/>
      <c r="J46" s="258"/>
      <c r="K46" s="258"/>
      <c r="L46" s="247"/>
      <c r="M46" s="247"/>
      <c r="AB46" s="49"/>
      <c r="AC46" s="50"/>
      <c r="AD46" s="51"/>
      <c r="AE46" s="264"/>
      <c r="AF46" s="264"/>
      <c r="AG46" s="264"/>
      <c r="AH46" s="264"/>
      <c r="AI46" s="264"/>
      <c r="AJ46" s="264"/>
      <c r="AK46" s="264"/>
    </row>
    <row r="47" spans="2:37" x14ac:dyDescent="0.2">
      <c r="B47" s="252" t="s">
        <v>9</v>
      </c>
      <c r="C47" s="253" t="s">
        <v>102</v>
      </c>
      <c r="D47" s="254"/>
      <c r="E47" s="263" t="s">
        <v>642</v>
      </c>
      <c r="F47" s="263"/>
      <c r="G47" s="263"/>
      <c r="H47" s="263"/>
      <c r="I47" s="263"/>
      <c r="J47" s="263"/>
      <c r="K47" s="263"/>
      <c r="L47" s="247"/>
      <c r="M47" s="247"/>
      <c r="AB47" s="49"/>
      <c r="AC47" s="50"/>
      <c r="AD47" s="51"/>
      <c r="AE47" s="264"/>
      <c r="AF47" s="264"/>
      <c r="AG47" s="264"/>
      <c r="AH47" s="264"/>
      <c r="AI47" s="264"/>
      <c r="AJ47" s="264"/>
      <c r="AK47" s="264"/>
    </row>
    <row r="48" spans="2:37" x14ac:dyDescent="0.2">
      <c r="B48" s="252" t="s">
        <v>9</v>
      </c>
      <c r="C48" s="253" t="s">
        <v>143</v>
      </c>
      <c r="D48" s="254"/>
      <c r="E48" s="263" t="s">
        <v>643</v>
      </c>
      <c r="F48" s="263"/>
      <c r="G48" s="263"/>
      <c r="H48" s="263"/>
      <c r="I48" s="263"/>
      <c r="J48" s="263"/>
      <c r="K48" s="263"/>
      <c r="L48" s="247"/>
      <c r="M48" s="247"/>
      <c r="AB48" s="49"/>
      <c r="AC48" s="50"/>
      <c r="AD48" s="51"/>
      <c r="AE48" s="264"/>
      <c r="AF48" s="264"/>
      <c r="AG48" s="264"/>
      <c r="AH48" s="264"/>
      <c r="AI48" s="264"/>
      <c r="AJ48" s="264"/>
      <c r="AK48" s="264"/>
    </row>
    <row r="49" spans="2:37" x14ac:dyDescent="0.2">
      <c r="B49" s="252" t="s">
        <v>9</v>
      </c>
      <c r="C49" s="253" t="s">
        <v>103</v>
      </c>
      <c r="D49" s="254"/>
      <c r="E49" s="263" t="s">
        <v>644</v>
      </c>
      <c r="F49" s="263"/>
      <c r="G49" s="263"/>
      <c r="H49" s="263"/>
      <c r="I49" s="263"/>
      <c r="J49" s="263"/>
      <c r="K49" s="263"/>
      <c r="L49" s="247"/>
      <c r="M49" s="247"/>
      <c r="AB49" s="49"/>
      <c r="AC49" s="50"/>
      <c r="AD49" s="51"/>
      <c r="AE49" s="264"/>
      <c r="AF49" s="264"/>
      <c r="AG49" s="264"/>
      <c r="AH49" s="264"/>
      <c r="AI49" s="264"/>
      <c r="AJ49" s="264"/>
      <c r="AK49" s="264"/>
    </row>
    <row r="50" spans="2:37" ht="12.75" customHeight="1" x14ac:dyDescent="0.2">
      <c r="B50" s="252" t="s">
        <v>9</v>
      </c>
      <c r="C50" s="253" t="s">
        <v>376</v>
      </c>
      <c r="D50" s="254"/>
      <c r="E50" s="263" t="s">
        <v>645</v>
      </c>
      <c r="F50" s="263"/>
      <c r="G50" s="263"/>
      <c r="H50" s="263"/>
      <c r="I50" s="263"/>
      <c r="J50" s="263"/>
      <c r="K50" s="263"/>
      <c r="L50" s="247"/>
      <c r="M50" s="247"/>
      <c r="AB50" s="49"/>
      <c r="AC50" s="57"/>
      <c r="AD50" s="51"/>
      <c r="AE50" s="67"/>
      <c r="AF50" s="67"/>
      <c r="AG50" s="67"/>
      <c r="AH50" s="67"/>
      <c r="AI50" s="67"/>
      <c r="AJ50" s="67"/>
      <c r="AK50" s="67"/>
    </row>
    <row r="51" spans="2:37" ht="12.75" customHeight="1" x14ac:dyDescent="0.2">
      <c r="B51" s="252" t="s">
        <v>9</v>
      </c>
      <c r="C51" s="253" t="s">
        <v>377</v>
      </c>
      <c r="D51" s="254"/>
      <c r="E51" s="263" t="s">
        <v>646</v>
      </c>
      <c r="F51" s="263"/>
      <c r="G51" s="263"/>
      <c r="H51" s="263"/>
      <c r="I51" s="263"/>
      <c r="J51" s="263"/>
      <c r="K51" s="263"/>
      <c r="L51" s="247"/>
      <c r="M51" s="247"/>
      <c r="AB51" s="49"/>
      <c r="AC51" s="57"/>
      <c r="AD51" s="51"/>
      <c r="AE51" s="67"/>
      <c r="AF51" s="67"/>
      <c r="AG51" s="67"/>
      <c r="AH51" s="67"/>
      <c r="AI51" s="67"/>
      <c r="AJ51" s="67"/>
      <c r="AK51" s="67"/>
    </row>
    <row r="52" spans="2:37" x14ac:dyDescent="0.2">
      <c r="B52" s="252"/>
      <c r="C52" s="253"/>
      <c r="D52" s="254"/>
      <c r="E52" s="258"/>
      <c r="F52" s="258"/>
      <c r="G52" s="258"/>
      <c r="H52" s="258"/>
      <c r="I52" s="258"/>
      <c r="J52" s="258"/>
      <c r="K52" s="258"/>
      <c r="L52" s="247"/>
      <c r="M52" s="247"/>
      <c r="AB52" s="49"/>
      <c r="AC52" s="50"/>
      <c r="AD52" s="51"/>
      <c r="AE52" s="72"/>
      <c r="AF52" s="72"/>
      <c r="AG52" s="72"/>
      <c r="AH52" s="72"/>
      <c r="AI52" s="72"/>
      <c r="AJ52" s="72"/>
      <c r="AK52" s="72"/>
    </row>
    <row r="53" spans="2:37" ht="15" customHeight="1" x14ac:dyDescent="0.2">
      <c r="B53" s="250" t="s">
        <v>634</v>
      </c>
      <c r="C53" s="255"/>
      <c r="D53" s="254"/>
      <c r="E53" s="258"/>
      <c r="F53" s="258"/>
      <c r="G53" s="258"/>
      <c r="H53" s="258"/>
      <c r="I53" s="258"/>
      <c r="J53" s="258"/>
      <c r="K53" s="258"/>
      <c r="L53" s="247"/>
      <c r="M53" s="247"/>
      <c r="AB53" s="49"/>
      <c r="AC53" s="57"/>
      <c r="AD53" s="51"/>
      <c r="AE53" s="264"/>
      <c r="AF53" s="264"/>
      <c r="AG53" s="264"/>
      <c r="AH53" s="264"/>
      <c r="AI53" s="264"/>
      <c r="AJ53" s="264"/>
      <c r="AK53" s="264"/>
    </row>
    <row r="54" spans="2:37" ht="12.75" customHeight="1" x14ac:dyDescent="0.2">
      <c r="B54" s="252" t="s">
        <v>9</v>
      </c>
      <c r="C54" s="253" t="s">
        <v>497</v>
      </c>
      <c r="D54" s="254"/>
      <c r="E54" s="263" t="s">
        <v>601</v>
      </c>
      <c r="F54" s="263"/>
      <c r="G54" s="263"/>
      <c r="H54" s="263"/>
      <c r="I54" s="263"/>
      <c r="J54" s="263"/>
      <c r="K54" s="263"/>
      <c r="L54" s="247"/>
      <c r="M54" s="247"/>
      <c r="AB54" s="49"/>
      <c r="AC54" s="57"/>
      <c r="AD54" s="51"/>
      <c r="AE54" s="264"/>
      <c r="AF54" s="264"/>
      <c r="AG54" s="264"/>
      <c r="AH54" s="264"/>
      <c r="AI54" s="264"/>
      <c r="AJ54" s="264"/>
      <c r="AK54" s="264"/>
    </row>
    <row r="55" spans="2:37" ht="12.75" customHeight="1" x14ac:dyDescent="0.2">
      <c r="B55" s="252" t="s">
        <v>9</v>
      </c>
      <c r="C55" s="253" t="s">
        <v>498</v>
      </c>
      <c r="D55" s="254"/>
      <c r="E55" s="263" t="s">
        <v>602</v>
      </c>
      <c r="F55" s="263"/>
      <c r="G55" s="263"/>
      <c r="H55" s="263"/>
      <c r="I55" s="263"/>
      <c r="J55" s="263"/>
      <c r="K55" s="263"/>
      <c r="L55" s="247"/>
      <c r="M55" s="247"/>
      <c r="AB55" s="49"/>
      <c r="AC55" s="57"/>
      <c r="AD55" s="51"/>
      <c r="AE55" s="122"/>
      <c r="AF55" s="122"/>
      <c r="AG55" s="122"/>
      <c r="AH55" s="122"/>
      <c r="AI55" s="122"/>
      <c r="AJ55" s="122"/>
      <c r="AK55" s="122"/>
    </row>
    <row r="56" spans="2:37" x14ac:dyDescent="0.2">
      <c r="B56" s="252" t="s">
        <v>9</v>
      </c>
      <c r="C56" s="253" t="s">
        <v>439</v>
      </c>
      <c r="D56" s="254"/>
      <c r="E56" s="263" t="s">
        <v>607</v>
      </c>
      <c r="F56" s="263"/>
      <c r="G56" s="263"/>
      <c r="H56" s="263"/>
      <c r="I56" s="263"/>
      <c r="J56" s="263"/>
      <c r="K56" s="263"/>
      <c r="L56" s="247"/>
      <c r="M56" s="247"/>
      <c r="AB56" s="49"/>
      <c r="AC56" s="57"/>
      <c r="AD56" s="51"/>
      <c r="AE56" s="264"/>
      <c r="AF56" s="264"/>
      <c r="AG56" s="264"/>
      <c r="AH56" s="264"/>
      <c r="AI56" s="264"/>
      <c r="AJ56" s="264"/>
      <c r="AK56" s="264"/>
    </row>
    <row r="57" spans="2:37" x14ac:dyDescent="0.2">
      <c r="B57" s="252" t="s">
        <v>9</v>
      </c>
      <c r="C57" s="253" t="s">
        <v>440</v>
      </c>
      <c r="D57" s="254"/>
      <c r="E57" s="263" t="s">
        <v>608</v>
      </c>
      <c r="F57" s="263"/>
      <c r="G57" s="263"/>
      <c r="H57" s="263"/>
      <c r="I57" s="263"/>
      <c r="J57" s="263"/>
      <c r="K57" s="263"/>
      <c r="L57" s="247"/>
      <c r="M57" s="247"/>
      <c r="AB57" s="49"/>
      <c r="AC57" s="57"/>
      <c r="AD57" s="51"/>
      <c r="AE57" s="122"/>
      <c r="AF57" s="122"/>
      <c r="AG57" s="122"/>
      <c r="AH57" s="122"/>
      <c r="AI57" s="122"/>
      <c r="AJ57" s="122"/>
      <c r="AK57" s="122"/>
    </row>
    <row r="58" spans="2:37" ht="12.75" customHeight="1" x14ac:dyDescent="0.2">
      <c r="B58" s="252" t="s">
        <v>9</v>
      </c>
      <c r="C58" s="253" t="s">
        <v>484</v>
      </c>
      <c r="D58" s="254"/>
      <c r="E58" s="263" t="s">
        <v>649</v>
      </c>
      <c r="F58" s="263"/>
      <c r="G58" s="263"/>
      <c r="H58" s="263"/>
      <c r="I58" s="263"/>
      <c r="J58" s="263"/>
      <c r="K58" s="263"/>
      <c r="L58" s="247"/>
      <c r="M58" s="247"/>
      <c r="AB58" s="49"/>
      <c r="AC58" s="57"/>
      <c r="AD58" s="51"/>
      <c r="AE58" s="264"/>
      <c r="AF58" s="264"/>
      <c r="AG58" s="264"/>
      <c r="AH58" s="264"/>
      <c r="AI58" s="264"/>
      <c r="AJ58" s="264"/>
      <c r="AK58" s="264"/>
    </row>
    <row r="59" spans="2:37" ht="12.75" customHeight="1" x14ac:dyDescent="0.2">
      <c r="B59" s="252" t="s">
        <v>9</v>
      </c>
      <c r="C59" s="253" t="s">
        <v>378</v>
      </c>
      <c r="D59" s="254"/>
      <c r="E59" s="263" t="s">
        <v>610</v>
      </c>
      <c r="F59" s="263"/>
      <c r="G59" s="263"/>
      <c r="H59" s="263"/>
      <c r="I59" s="263"/>
      <c r="J59" s="263"/>
      <c r="K59" s="263"/>
      <c r="L59" s="247"/>
      <c r="M59" s="247"/>
      <c r="AB59" s="49"/>
      <c r="AC59" s="57"/>
      <c r="AD59" s="51"/>
      <c r="AE59" s="264"/>
      <c r="AF59" s="264"/>
      <c r="AG59" s="264"/>
      <c r="AH59" s="264"/>
      <c r="AI59" s="264"/>
      <c r="AJ59" s="264"/>
      <c r="AK59" s="264"/>
    </row>
    <row r="60" spans="2:37" ht="12.75" customHeight="1" x14ac:dyDescent="0.2">
      <c r="B60" s="252" t="s">
        <v>9</v>
      </c>
      <c r="C60" s="253" t="s">
        <v>379</v>
      </c>
      <c r="D60" s="254"/>
      <c r="E60" s="263" t="s">
        <v>611</v>
      </c>
      <c r="F60" s="263"/>
      <c r="G60" s="263"/>
      <c r="H60" s="263"/>
      <c r="I60" s="263"/>
      <c r="J60" s="263"/>
      <c r="K60" s="263"/>
      <c r="L60" s="247"/>
      <c r="M60" s="247"/>
      <c r="AB60" s="49"/>
      <c r="AC60" s="57"/>
      <c r="AD60" s="51"/>
      <c r="AE60" s="67"/>
      <c r="AF60" s="67"/>
      <c r="AG60" s="67"/>
      <c r="AH60" s="67"/>
      <c r="AI60" s="67"/>
      <c r="AJ60" s="67"/>
      <c r="AK60" s="67"/>
    </row>
    <row r="61" spans="2:37" ht="12.75" customHeight="1" x14ac:dyDescent="0.2">
      <c r="B61" s="252" t="s">
        <v>9</v>
      </c>
      <c r="C61" s="253" t="s">
        <v>485</v>
      </c>
      <c r="D61" s="254"/>
      <c r="E61" s="263" t="s">
        <v>587</v>
      </c>
      <c r="F61" s="263"/>
      <c r="G61" s="263"/>
      <c r="H61" s="263"/>
      <c r="I61" s="263"/>
      <c r="J61" s="263"/>
      <c r="K61" s="263"/>
      <c r="L61" s="247"/>
      <c r="M61" s="247"/>
      <c r="AB61" s="49"/>
      <c r="AC61" s="57"/>
      <c r="AD61" s="51"/>
      <c r="AE61" s="116"/>
      <c r="AF61" s="116"/>
      <c r="AG61" s="116"/>
      <c r="AH61" s="116"/>
      <c r="AI61" s="116"/>
      <c r="AJ61" s="116"/>
      <c r="AK61" s="116"/>
    </row>
    <row r="62" spans="2:37" ht="12.75" customHeight="1" x14ac:dyDescent="0.2">
      <c r="B62" s="252" t="s">
        <v>9</v>
      </c>
      <c r="C62" s="253" t="s">
        <v>486</v>
      </c>
      <c r="D62" s="254"/>
      <c r="E62" s="263" t="s">
        <v>588</v>
      </c>
      <c r="F62" s="263"/>
      <c r="G62" s="263"/>
      <c r="H62" s="263"/>
      <c r="I62" s="263"/>
      <c r="J62" s="263"/>
      <c r="K62" s="263"/>
      <c r="L62" s="247"/>
      <c r="M62" s="247"/>
      <c r="AB62" s="49"/>
      <c r="AC62" s="57"/>
      <c r="AD62" s="51"/>
      <c r="AE62" s="122"/>
      <c r="AF62" s="122"/>
      <c r="AG62" s="122"/>
      <c r="AH62" s="122"/>
      <c r="AI62" s="122"/>
      <c r="AJ62" s="122"/>
      <c r="AK62" s="122"/>
    </row>
    <row r="63" spans="2:37" x14ac:dyDescent="0.2">
      <c r="B63" s="252"/>
      <c r="C63" s="253"/>
      <c r="D63" s="254"/>
      <c r="E63" s="263"/>
      <c r="F63" s="263"/>
      <c r="G63" s="263"/>
      <c r="H63" s="263"/>
      <c r="I63" s="263"/>
      <c r="J63" s="263"/>
      <c r="K63" s="263"/>
      <c r="L63" s="247"/>
      <c r="M63" s="247"/>
      <c r="AB63" s="49"/>
      <c r="AC63" s="57"/>
      <c r="AD63" s="51"/>
      <c r="AE63" s="264"/>
      <c r="AF63" s="264"/>
      <c r="AG63" s="264"/>
      <c r="AH63" s="264"/>
      <c r="AI63" s="264"/>
      <c r="AJ63" s="264"/>
      <c r="AK63" s="264"/>
    </row>
    <row r="64" spans="2:37" x14ac:dyDescent="0.2">
      <c r="B64" s="250" t="s">
        <v>15</v>
      </c>
      <c r="C64" s="255"/>
      <c r="D64" s="254"/>
      <c r="E64" s="258"/>
      <c r="F64" s="258"/>
      <c r="G64" s="258"/>
      <c r="H64" s="258"/>
      <c r="I64" s="258"/>
      <c r="J64" s="258"/>
      <c r="K64" s="258"/>
      <c r="L64" s="247"/>
      <c r="M64" s="247"/>
    </row>
    <row r="65" spans="2:13" x14ac:dyDescent="0.2">
      <c r="B65" s="252" t="s">
        <v>9</v>
      </c>
      <c r="C65" s="253" t="s">
        <v>499</v>
      </c>
      <c r="D65" s="254"/>
      <c r="E65" s="263" t="s">
        <v>612</v>
      </c>
      <c r="F65" s="263"/>
      <c r="G65" s="263"/>
      <c r="H65" s="263"/>
      <c r="I65" s="263"/>
      <c r="J65" s="263"/>
      <c r="K65" s="263"/>
      <c r="L65" s="247"/>
      <c r="M65" s="247"/>
    </row>
    <row r="66" spans="2:13" x14ac:dyDescent="0.2">
      <c r="B66" s="252" t="s">
        <v>9</v>
      </c>
      <c r="C66" s="253" t="s">
        <v>436</v>
      </c>
      <c r="D66" s="254"/>
      <c r="E66" s="263" t="s">
        <v>606</v>
      </c>
      <c r="F66" s="263"/>
      <c r="G66" s="263"/>
      <c r="H66" s="263"/>
      <c r="I66" s="263"/>
      <c r="J66" s="263"/>
      <c r="K66" s="263"/>
      <c r="L66" s="247"/>
      <c r="M66" s="247"/>
    </row>
    <row r="67" spans="2:13" x14ac:dyDescent="0.2">
      <c r="B67" s="250"/>
      <c r="C67" s="255"/>
      <c r="D67" s="254"/>
      <c r="E67" s="258"/>
      <c r="F67" s="258"/>
      <c r="G67" s="258"/>
      <c r="H67" s="258"/>
      <c r="I67" s="258"/>
      <c r="J67" s="258"/>
      <c r="K67" s="258"/>
      <c r="L67" s="247"/>
      <c r="M67" s="247"/>
    </row>
    <row r="68" spans="2:13" x14ac:dyDescent="0.2">
      <c r="B68" s="250" t="s">
        <v>26</v>
      </c>
      <c r="C68" s="247"/>
      <c r="D68" s="247"/>
      <c r="E68" s="265" t="s">
        <v>621</v>
      </c>
      <c r="F68" s="265"/>
      <c r="G68" s="265"/>
      <c r="H68" s="265"/>
      <c r="I68" s="265"/>
      <c r="J68" s="265"/>
      <c r="K68" s="265"/>
      <c r="L68" s="247"/>
      <c r="M68" s="247"/>
    </row>
    <row r="69" spans="2:13" x14ac:dyDescent="0.2">
      <c r="B69" s="247"/>
      <c r="C69" s="247"/>
      <c r="D69" s="247"/>
      <c r="E69" s="247"/>
      <c r="F69" s="247"/>
      <c r="G69" s="247"/>
      <c r="H69" s="247"/>
      <c r="I69" s="247"/>
      <c r="J69" s="247"/>
      <c r="K69" s="247"/>
      <c r="L69" s="247"/>
      <c r="M69" s="247"/>
    </row>
    <row r="70" spans="2:13" x14ac:dyDescent="0.2">
      <c r="B70" s="247"/>
      <c r="C70" s="247"/>
      <c r="D70" s="247"/>
      <c r="E70" s="247"/>
      <c r="F70" s="247"/>
      <c r="G70" s="247"/>
      <c r="H70" s="247"/>
      <c r="I70" s="247"/>
      <c r="J70" s="247"/>
      <c r="K70" s="247"/>
      <c r="L70" s="247"/>
      <c r="M70" s="247"/>
    </row>
    <row r="71" spans="2:13" ht="15.75" x14ac:dyDescent="0.25">
      <c r="B71" s="259" t="s">
        <v>14</v>
      </c>
      <c r="C71" s="259"/>
      <c r="D71" s="259"/>
      <c r="E71" s="259"/>
      <c r="F71" s="259"/>
      <c r="G71" s="259"/>
      <c r="H71" s="259"/>
      <c r="I71" s="259"/>
      <c r="J71" s="259"/>
      <c r="K71" s="259"/>
      <c r="L71" s="247"/>
      <c r="M71" s="247"/>
    </row>
    <row r="72" spans="2:13" x14ac:dyDescent="0.2">
      <c r="B72" s="247"/>
      <c r="C72" s="247"/>
      <c r="D72" s="247"/>
      <c r="E72" s="247"/>
      <c r="F72" s="247"/>
      <c r="G72" s="247"/>
      <c r="H72" s="247"/>
      <c r="I72" s="247"/>
      <c r="J72" s="247"/>
      <c r="K72" s="247"/>
      <c r="L72" s="247"/>
      <c r="M72" s="247"/>
    </row>
    <row r="73" spans="2:13" x14ac:dyDescent="0.2">
      <c r="B73" s="247"/>
      <c r="C73" s="247"/>
      <c r="D73" s="247"/>
      <c r="E73" s="247"/>
      <c r="F73" s="247"/>
      <c r="G73" s="247"/>
      <c r="H73" s="247"/>
      <c r="I73" s="247"/>
      <c r="J73" s="247"/>
      <c r="K73" s="247"/>
      <c r="L73" s="247"/>
      <c r="M73" s="247"/>
    </row>
    <row r="74" spans="2:13" x14ac:dyDescent="0.2">
      <c r="B74" s="247"/>
      <c r="C74" s="248"/>
      <c r="D74" s="247"/>
      <c r="E74" s="247"/>
      <c r="F74" s="247"/>
      <c r="G74" s="247"/>
      <c r="H74" s="247"/>
      <c r="I74" s="247"/>
      <c r="J74" s="247"/>
      <c r="K74" s="247"/>
      <c r="L74" s="247"/>
      <c r="M74" s="247"/>
    </row>
    <row r="75" spans="2:13" ht="15" customHeight="1" x14ac:dyDescent="0.2">
      <c r="B75" s="247"/>
      <c r="C75" s="248"/>
      <c r="D75" s="247"/>
      <c r="E75" s="247"/>
      <c r="F75" s="247"/>
      <c r="G75" s="247"/>
      <c r="H75" s="247"/>
      <c r="I75" s="247"/>
      <c r="J75" s="247"/>
      <c r="K75" s="247"/>
      <c r="L75" s="247"/>
      <c r="M75" s="247"/>
    </row>
  </sheetData>
  <mergeCells count="60">
    <mergeCell ref="E66:K66"/>
    <mergeCell ref="E41:K41"/>
    <mergeCell ref="E42:K42"/>
    <mergeCell ref="E43:K43"/>
    <mergeCell ref="E44:K44"/>
    <mergeCell ref="E57:K57"/>
    <mergeCell ref="E62:K62"/>
    <mergeCell ref="AE59:AK59"/>
    <mergeCell ref="AE63:AK63"/>
    <mergeCell ref="AE58:AK58"/>
    <mergeCell ref="E58:K58"/>
    <mergeCell ref="E59:K59"/>
    <mergeCell ref="E61:K61"/>
    <mergeCell ref="E63:K63"/>
    <mergeCell ref="AE53:AK53"/>
    <mergeCell ref="AE56:AK56"/>
    <mergeCell ref="E40:K40"/>
    <mergeCell ref="AE49:AK49"/>
    <mergeCell ref="AE47:AK47"/>
    <mergeCell ref="AE54:AK54"/>
    <mergeCell ref="AE48:AK48"/>
    <mergeCell ref="AE46:AK46"/>
    <mergeCell ref="E56:K56"/>
    <mergeCell ref="E55:K55"/>
    <mergeCell ref="AE30:AK30"/>
    <mergeCell ref="AE31:AK31"/>
    <mergeCell ref="AE32:AK32"/>
    <mergeCell ref="AE33:AK33"/>
    <mergeCell ref="E29:K29"/>
    <mergeCell ref="A2:E2"/>
    <mergeCell ref="AE19:AK19"/>
    <mergeCell ref="AE20:AK20"/>
    <mergeCell ref="AE21:AK21"/>
    <mergeCell ref="AE22:AK22"/>
    <mergeCell ref="AE23:AK23"/>
    <mergeCell ref="AE24:AK24"/>
    <mergeCell ref="E20:K20"/>
    <mergeCell ref="E21:K21"/>
    <mergeCell ref="E24:K24"/>
    <mergeCell ref="E25:K25"/>
    <mergeCell ref="E26:K26"/>
    <mergeCell ref="AE25:AK25"/>
    <mergeCell ref="E68:K68"/>
    <mergeCell ref="E65:K65"/>
    <mergeCell ref="E60:K60"/>
    <mergeCell ref="E48:K48"/>
    <mergeCell ref="E30:K30"/>
    <mergeCell ref="E31:K31"/>
    <mergeCell ref="E32:K32"/>
    <mergeCell ref="E33:K33"/>
    <mergeCell ref="E47:K47"/>
    <mergeCell ref="E49:K49"/>
    <mergeCell ref="E35:K35"/>
    <mergeCell ref="E36:K36"/>
    <mergeCell ref="E37:K37"/>
    <mergeCell ref="E38:K38"/>
    <mergeCell ref="E39:K39"/>
    <mergeCell ref="E50:K50"/>
    <mergeCell ref="E51:K51"/>
    <mergeCell ref="E54:K54"/>
  </mergeCells>
  <phoneticPr fontId="5" type="noConversion"/>
  <hyperlinks>
    <hyperlink ref="A2" r:id="rId1"/>
    <hyperlink ref="E20:K20" location="'T 1'!A1" display="Entwicklung der Pflichtigenzahl und der durchschnittlichen Einkommen und Vermögen, 2001 – 2011"/>
    <hyperlink ref="E21:K21" location="'T 2'!A1" display="Steuereinnahmen der Gemeinden von juristischen Personen, 2001 – 2011 (Beträge in 1’000 Franken)"/>
    <hyperlink ref="E24:K24" location="'T 3'!A1" display="Abschreibungen und vorgeschriebene Abschreibungen, 2011 und 2012 (in 1'000 Franken)"/>
    <hyperlink ref="E25:K25" location="'T 4'!A1" display="Aufwand der Laufenden Rechnung, 2003 − 2012"/>
    <hyperlink ref="E32:K32" location="'T 9'!A1" display="Zusammensetzung des Reineinkommens und des Reinvermögens nach Familientyp, 2011, in Franken pro Pflichtigen"/>
    <hyperlink ref="E26:K26" location="'T 5'!A1" display="Steuerpflichtige, Faktoren und Steuern nach Renditestufen, 2011"/>
    <hyperlink ref="E29:K29" location="'T 6'!A1" display="Zusammensetzung des Reineinkommens und des Reinvermögens nach Zivilstand, 2011, in Franken pro Pflichtigen"/>
    <hyperlink ref="E31:K31" location="'T 8'!A1" display="Zusammensetzung des Reineinkommens und des Reinvermögens nach Erwerbsart, 2011, in Franken pro Pflichtigen"/>
    <hyperlink ref="E47:K47" location="'T 16'!A1" display="Verteilung der Altersrentnerinnen– und rentner, Einkommen und Vermögen nach Stufen des Reineinkommens, 2011"/>
    <hyperlink ref="E33:K33" location="'T 10'!A1" display="Zusammensetzung des Reineinkommens und des Reinvermögens nach Verdienerzahl, 2011 in Franken pro Pflichtigen"/>
    <hyperlink ref="E30:K30" location="'T 7'!A1" display="Zusammensetzung des Reineinkommens und des Reinvermögens nach Altersklassen, 2011, in Franken pro Pflichtigen"/>
    <hyperlink ref="E48:K48" location="'T 17'!A1" display="Verteilung der Altersrentnerinnen– und rentner, Einkommen und Vermögen nach Stufen des Reinvermögens, 2011"/>
    <hyperlink ref="E49:K49" location="'T 18'!A1" display="Zusammensetzung des Reineinkommens und des Reinvermögens der Altersrentnerinnen– und rentner nach Zivilstand und Altersklasse, 2011"/>
    <hyperlink ref="B71:K71" location="Erläuterungen!A1" display="Erläuterungen: Begriffe und Definitionen"/>
    <hyperlink ref="B71" location="Erläuterungen!A1" display="Erläuterungen und Hinweise"/>
    <hyperlink ref="E68:J68" location="Gemeindekarte!A1" display="Einfache Kantonssteuer der Kapitalgesellschaften und Genossenschaften nach Gemeinden, 2011, in Franken pro Einwohner"/>
    <hyperlink ref="E65:K65" location="'T 27'!A1" display="Einkommen und Vermögen der Pflichtigen mit Wohnsitz im Kanton Aargau nach Gemeinden, 2011"/>
    <hyperlink ref="E35" location="'T 7a'!Druckbereich" display="Verteilung der Pflichtigen und des Reineinkommens nach Zivilstand und Stufen des Reineinkommens, 2011"/>
    <hyperlink ref="E36:K36" location="'T 11b'!A1" display="Verteilung der Pflichtigen und des Reinvermögens nach Zivilstand und Stufen des Reinvermögens, 2011"/>
    <hyperlink ref="E37:K37" location="'T 12a'!A1" display="Verteilung der Pflichtigen und des Reineinkommens nach Altersklassen und Stufen des Reineinkommens, 2011"/>
    <hyperlink ref="E38:K38" location="'T 12b'!A1" display="Verteilung der Pflichtigen und des Reinvermögens nach Altersklassen und Stufen des Reinvermögens, 2011"/>
    <hyperlink ref="E39:K39" location="'T 13a'!A1" display="Verteilung der Pflichtigen und des Reineinkommens nach Erwerbsart und Stufen des Reineinkommens, 2011"/>
    <hyperlink ref="E40:K40" location="'T 13b'!A1" display="Verteilung der Pflichtigen und des Reinvermögens nach Erwerbsart und Stufen des Reinvermögens, 2011"/>
    <hyperlink ref="E50" location="'T 12a'!A1" display="Verteilung der Altersrentnerinnen– und rentner, Steuerfaktoren und Steuern nach Stufen des steuerbaren Einkommens, 2011"/>
    <hyperlink ref="E51" location="'T 12b'!A1" display="Verteilung der Altersrentnerinnen– und rentner, Steuerfaktoren und Steuern nach Stufen des steuerbaren Vermögens, 2011"/>
    <hyperlink ref="E60" location="'T 18'!A1" display="Verteilung der Pflichtigen, des steuerbaren Einkommens und der Einkommenssteuer nach Stufen des steuerbaren Einkommens und Tarifart, 2011"/>
    <hyperlink ref="E54" location="'T 13a'!A1" display="Verteilung der Pflichtigen, Steuerfaktoren und Steuern nach Stufen des steuerbaren Einkommens, 2011"/>
    <hyperlink ref="E56:K56" location="'T 22a'!A1" display="Verteilung der Pflichtigen, Steuerfaktoren und Steuern nach Stufen des steuerbaren Vermögens, 2011"/>
    <hyperlink ref="E58:K58" location="'T 23'!A1" display="Verteilung der Pflichtigen nach Einkommens– und Vermögenssteuerstufen, 2011"/>
    <hyperlink ref="E59:K59" location="'T 24'!A1" display="Verteilung der Pflichtigen, Einkommen, Vermögen und Steuern nach verschiedenen Merkmalen, 2011"/>
    <hyperlink ref="E60:K60" location="'T 25'!A1" display="Verteilung der Pflichtigen, des steuerbaren Einkommens und der Einkommenssteuer nach Stufen des steuerbaren Einkommens und Tarifart, 2011"/>
    <hyperlink ref="E35:K35" location="'T 11a'!A1" display="Verteilung der Pflichtigen und des Reineinkommens nach Zivilstand und Stufen des Reineinkommens, 2011"/>
    <hyperlink ref="E50:K50" location="'T 19'!A1" display="Verteilung der Altersrentnerinnen– und rentner, Steuerfaktoren und Steuern nach Stufen des steuerbaren Einkommens, 2011"/>
    <hyperlink ref="E51:K51" location="'T 20'!A1" display="Verteilung der Altersrentnerinnen– und rentner, Steuerfaktoren und Steuern nach Stufen des steuerbaren Vermögens, 2011"/>
    <hyperlink ref="E54:K54" location="'T 21a'!A1" display="Verteilung der Pflichtigen, Steuerfaktoren und Steuern nach Stufen des steuerbaren Einkommens, 2011"/>
    <hyperlink ref="E61" location="'T 18'!A1" display="Verteilung der Pflichtigen, des steuerbaren Einkommens und der Einkommenssteuer nach Stufen des steuerbaren Einkommens und Tarifart, 2011"/>
    <hyperlink ref="E61:K61" location="'T 26a'!A1" display="Entwicklung der Vermögens- und Einkommenssteuer von Pflichtigen mit Wohnsitz im Kanton Aargau, 2001 - 2011, in Millionen Franken"/>
    <hyperlink ref="E55" location="'T 13a'!A1" display="Verteilung der Pflichtigen, Steuerfaktoren und Steuern nach Stufen des steuerbaren Einkommens, 2011"/>
    <hyperlink ref="E55:K55" location="'T 21b'!A1" display="Verteilung der Pflichtigen und Einkommenssteuer nach Stufen des steuerbaren Einkommens, 2011"/>
    <hyperlink ref="E57:K57" location="'T 22b'!A1" display="Verteilung der Pflichtigen und Vermögenssteuer nach Stufen des steuerbaren Vermögens, 2011"/>
    <hyperlink ref="E62" location="'T 18'!A1" display="Verteilung der Pflichtigen, des steuerbaren Einkommens und der Einkommenssteuer nach Stufen des steuerbaren Einkommens und Tarifart, 2011"/>
    <hyperlink ref="E62:K62" location="'T 26b'!Druckbereich" display="Entwicklung der Pflichtigen, des Reineinkommens und Reinvermögens sowie der einfachen Kantonssteuer, 2001 - 2011 (indexiert)"/>
    <hyperlink ref="E66:K66" location="'T 28'!A1" display="Steuerpflichtige mit Wohnsitz im Kanton Aargau nach Einkommens- und Vermögensstufen und Gemeinden, in Prozent, 2011"/>
    <hyperlink ref="E41" location="'T 14a'!A1" display="Verteilung der Pflichtigen und des Reinvermögens nach Familientyp und Stufen des Reineinkommens, 2011"/>
    <hyperlink ref="E42" location="'T 14b'!A1" display="Verteilung der Pflichtigen und des Reinvermögens nach Familientyp und Stufen des Reinvermögens 2011"/>
    <hyperlink ref="E43" location="'T 15a'!A1" display="Verteilung der Pflichtigen (unter 65 Jahren) und des Reineinkommens nach Verdienerzahl und Stufen des Reineinkommens, 2011"/>
    <hyperlink ref="E44" location="'T 15b'!A1" display="Verteilung der Pflichtigen (unter 65 Jahren) und des Reineinkommens nach Verdienerzahl und Stufen des Reinvermögens, 2011"/>
    <hyperlink ref="E41:K41" location="'T 14a'!A1" display="Verteilung der Pflichtigen und des Reinvermögens nach Familientyp und Stufen des Reineinkommens, 2011"/>
    <hyperlink ref="E42:K42" location="'T 14b'!A1" display="Verteilung der Pflichtigen und des Reinvermögens nach Familientyp und Stufen des Reinvermögens 2011"/>
  </hyperlinks>
  <pageMargins left="0.7" right="0.7" top="0.75" bottom="0.75" header="0.3" footer="0.3"/>
  <pageSetup paperSize="9" scale="64" orientation="portrait" r:id="rId2"/>
  <headerFooter alignWithMargins="0">
    <oddHeader>&amp;L&amp;G</oddHeader>
    <oddFooter>&amp;L&amp;"Arial,Fett"&amp;8DEPARTEMENT FINANZEN UND RESSOURCEN &amp;"Arial,Standard"Statistik Aargau
Bleichemattstrasse 4, 5000 Aarau&amp;R&amp;8Steuerstatistik 2014 – Natürliche Personen</odd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6E51"/>
    <pageSetUpPr fitToPage="1"/>
  </sheetPr>
  <dimension ref="B1:Z39"/>
  <sheetViews>
    <sheetView view="pageBreakPreview" zoomScaleNormal="100" zoomScaleSheetLayoutView="100" workbookViewId="0">
      <selection activeCell="B1" sqref="B1"/>
    </sheetView>
  </sheetViews>
  <sheetFormatPr baseColWidth="10" defaultRowHeight="12.75" x14ac:dyDescent="0.2"/>
  <cols>
    <col min="1" max="1" width="2" style="76" customWidth="1"/>
    <col min="2" max="2" width="41.28515625" style="76" customWidth="1"/>
    <col min="3" max="4" width="13.7109375" style="76" customWidth="1"/>
    <col min="5" max="8" width="12.7109375" style="76" customWidth="1"/>
    <col min="9" max="9" width="19.140625" style="76" customWidth="1"/>
    <col min="10" max="16384" width="11.42578125" style="76"/>
  </cols>
  <sheetData>
    <row r="1" spans="2:26" s="11" customFormat="1" ht="15.75" x14ac:dyDescent="0.2">
      <c r="B1" s="186" t="str">
        <f>Inhaltsverzeichnis!B32&amp;" "&amp;Inhaltsverzeichnis!C32&amp;" "&amp;Inhaltsverzeichnis!E32</f>
        <v>Tabelle 9: Zusammensetzung des Reineinkommens und des Reinvermögens nach Familientyp, 2014, in Franken pro Pflichtigen</v>
      </c>
      <c r="C1" s="187"/>
      <c r="D1" s="187"/>
      <c r="E1" s="187"/>
      <c r="F1" s="187"/>
      <c r="G1" s="187"/>
      <c r="H1" s="187"/>
      <c r="I1" s="187"/>
      <c r="J1" s="187"/>
      <c r="K1" s="187"/>
      <c r="L1" s="187"/>
      <c r="M1" s="187"/>
      <c r="N1" s="187"/>
      <c r="O1" s="187"/>
      <c r="P1" s="187"/>
      <c r="Q1" s="187"/>
      <c r="R1" s="73"/>
      <c r="S1" s="73"/>
      <c r="T1" s="73"/>
      <c r="U1" s="73"/>
      <c r="V1" s="73"/>
      <c r="W1" s="73"/>
      <c r="X1" s="73"/>
      <c r="Y1" s="73"/>
      <c r="Z1" s="73"/>
    </row>
    <row r="3" spans="2:26" ht="27.75" customHeight="1" x14ac:dyDescent="0.2">
      <c r="B3" s="278" t="s">
        <v>565</v>
      </c>
      <c r="C3" s="311" t="s">
        <v>567</v>
      </c>
      <c r="D3" s="312"/>
      <c r="E3" s="311" t="s">
        <v>67</v>
      </c>
      <c r="F3" s="313"/>
      <c r="G3" s="280" t="s">
        <v>13</v>
      </c>
      <c r="H3" s="281"/>
    </row>
    <row r="4" spans="2:26" s="45" customFormat="1" x14ac:dyDescent="0.2">
      <c r="B4" s="305"/>
      <c r="C4" s="104" t="s">
        <v>95</v>
      </c>
      <c r="D4" s="77" t="s">
        <v>96</v>
      </c>
      <c r="E4" s="77" t="s">
        <v>95</v>
      </c>
      <c r="F4" s="77" t="s">
        <v>96</v>
      </c>
      <c r="G4" s="77" t="s">
        <v>95</v>
      </c>
      <c r="H4" s="77" t="s">
        <v>96</v>
      </c>
    </row>
    <row r="5" spans="2:26" s="45" customFormat="1" ht="14.25" x14ac:dyDescent="0.2">
      <c r="B5" s="234" t="s">
        <v>421</v>
      </c>
      <c r="C5" s="101">
        <v>208708.962673</v>
      </c>
      <c r="D5" s="101">
        <v>17474.301518</v>
      </c>
      <c r="E5" s="101">
        <v>76491.105578000002</v>
      </c>
      <c r="F5" s="101">
        <v>61248.416729999997</v>
      </c>
      <c r="G5" s="101">
        <v>285200.06829999998</v>
      </c>
      <c r="H5" s="101">
        <v>78722.718200000003</v>
      </c>
    </row>
    <row r="6" spans="2:26" x14ac:dyDescent="0.2">
      <c r="B6" s="293" t="s">
        <v>563</v>
      </c>
      <c r="C6" s="294"/>
      <c r="D6" s="294"/>
      <c r="E6" s="294"/>
      <c r="F6" s="294"/>
      <c r="G6" s="294"/>
      <c r="H6" s="295"/>
      <c r="I6" s="99"/>
      <c r="J6" s="99"/>
      <c r="K6" s="99"/>
      <c r="L6" s="99"/>
    </row>
    <row r="7" spans="2:26" x14ac:dyDescent="0.2">
      <c r="B7" s="239" t="s">
        <v>69</v>
      </c>
      <c r="C7" s="35">
        <v>38458.808499999999</v>
      </c>
      <c r="D7" s="35">
        <v>58303.338300000003</v>
      </c>
      <c r="E7" s="35">
        <v>42109.860999999997</v>
      </c>
      <c r="F7" s="35">
        <v>93906.8995</v>
      </c>
      <c r="G7" s="35">
        <v>39438.0265</v>
      </c>
      <c r="H7" s="35">
        <v>86003.877600000007</v>
      </c>
    </row>
    <row r="8" spans="2:26" x14ac:dyDescent="0.2">
      <c r="B8" s="239" t="s">
        <v>70</v>
      </c>
      <c r="C8" s="35">
        <v>0</v>
      </c>
      <c r="D8" s="35">
        <v>0</v>
      </c>
      <c r="E8" s="35">
        <v>19694.971799999999</v>
      </c>
      <c r="F8" s="35">
        <v>26763.5586</v>
      </c>
      <c r="G8" s="35">
        <v>5282.2223000000004</v>
      </c>
      <c r="H8" s="35">
        <v>20822.7768</v>
      </c>
    </row>
    <row r="9" spans="2:26" x14ac:dyDescent="0.2">
      <c r="B9" s="239" t="s">
        <v>71</v>
      </c>
      <c r="C9" s="35">
        <v>1871.4556</v>
      </c>
      <c r="D9" s="35">
        <v>4534.6030000000001</v>
      </c>
      <c r="E9" s="35">
        <v>4523.3728000000001</v>
      </c>
      <c r="F9" s="35">
        <v>6823.8149999999996</v>
      </c>
      <c r="G9" s="35">
        <v>2582.7039</v>
      </c>
      <c r="H9" s="35">
        <v>6315.6722</v>
      </c>
    </row>
    <row r="10" spans="2:26" x14ac:dyDescent="0.2">
      <c r="B10" s="239" t="s">
        <v>72</v>
      </c>
      <c r="C10" s="35">
        <v>0</v>
      </c>
      <c r="D10" s="35">
        <v>0</v>
      </c>
      <c r="E10" s="35">
        <v>1128.4668999999999</v>
      </c>
      <c r="F10" s="35">
        <v>1400.8551</v>
      </c>
      <c r="G10" s="35">
        <v>302.65660000000003</v>
      </c>
      <c r="H10" s="35">
        <v>1089.9032999999999</v>
      </c>
    </row>
    <row r="11" spans="2:26" x14ac:dyDescent="0.2">
      <c r="B11" s="240" t="s">
        <v>630</v>
      </c>
      <c r="C11" s="35">
        <v>10168.81</v>
      </c>
      <c r="D11" s="35">
        <v>5474.63</v>
      </c>
      <c r="E11" s="35">
        <v>23709.2088</v>
      </c>
      <c r="F11" s="35">
        <v>3215.9967000000001</v>
      </c>
      <c r="G11" s="35">
        <v>13800.3662</v>
      </c>
      <c r="H11" s="35">
        <v>3717.3519000000001</v>
      </c>
    </row>
    <row r="12" spans="2:26" x14ac:dyDescent="0.2">
      <c r="B12" s="240" t="s">
        <v>419</v>
      </c>
      <c r="C12" s="35">
        <v>0</v>
      </c>
      <c r="D12" s="35">
        <v>0</v>
      </c>
      <c r="E12" s="35">
        <v>10217.7487</v>
      </c>
      <c r="F12" s="35">
        <v>1148.6015</v>
      </c>
      <c r="G12" s="35">
        <v>2740.4162000000001</v>
      </c>
      <c r="H12" s="35">
        <v>893.64319999999998</v>
      </c>
    </row>
    <row r="13" spans="2:26" x14ac:dyDescent="0.2">
      <c r="B13" s="240" t="s">
        <v>603</v>
      </c>
      <c r="C13" s="35">
        <v>1606.3123000000001</v>
      </c>
      <c r="D13" s="35">
        <v>2198.3667999999998</v>
      </c>
      <c r="E13" s="35">
        <v>6566.9295000000002</v>
      </c>
      <c r="F13" s="35">
        <v>5012.1738999999998</v>
      </c>
      <c r="G13" s="35">
        <v>2936.7575999999999</v>
      </c>
      <c r="H13" s="35">
        <v>4387.5852999999997</v>
      </c>
    </row>
    <row r="14" spans="2:26" x14ac:dyDescent="0.2">
      <c r="B14" s="240" t="s">
        <v>74</v>
      </c>
      <c r="C14" s="35">
        <v>2713.9899</v>
      </c>
      <c r="D14" s="35">
        <v>4084.2797</v>
      </c>
      <c r="E14" s="35">
        <v>10038.0105</v>
      </c>
      <c r="F14" s="35">
        <v>7600.5460999999996</v>
      </c>
      <c r="G14" s="35">
        <v>4678.3037000000004</v>
      </c>
      <c r="H14" s="35">
        <v>6820.0307000000003</v>
      </c>
    </row>
    <row r="15" spans="2:26" x14ac:dyDescent="0.2">
      <c r="B15" s="240" t="s">
        <v>75</v>
      </c>
      <c r="C15" s="35">
        <v>472.32440000000003</v>
      </c>
      <c r="D15" s="35">
        <v>10205.935799999999</v>
      </c>
      <c r="E15" s="35">
        <v>185.15049999999999</v>
      </c>
      <c r="F15" s="35">
        <v>473.66460000000001</v>
      </c>
      <c r="G15" s="35">
        <v>395.3039</v>
      </c>
      <c r="H15" s="35">
        <v>2633.9639999999999</v>
      </c>
    </row>
    <row r="16" spans="2:26" ht="14.25" x14ac:dyDescent="0.2">
      <c r="B16" s="230" t="s">
        <v>424</v>
      </c>
      <c r="C16" s="31">
        <v>55344.97</v>
      </c>
      <c r="D16" s="31">
        <v>84910.32</v>
      </c>
      <c r="E16" s="31">
        <v>118269.37</v>
      </c>
      <c r="F16" s="31">
        <v>146487.26</v>
      </c>
      <c r="G16" s="31">
        <v>72221.399999999994</v>
      </c>
      <c r="H16" s="31">
        <v>132818.85999999999</v>
      </c>
    </row>
    <row r="17" spans="2:23" x14ac:dyDescent="0.2">
      <c r="B17" s="296" t="s">
        <v>599</v>
      </c>
      <c r="C17" s="297"/>
      <c r="D17" s="297"/>
      <c r="E17" s="297"/>
      <c r="F17" s="297"/>
      <c r="G17" s="297"/>
      <c r="H17" s="297"/>
    </row>
    <row r="18" spans="2:23" x14ac:dyDescent="0.2">
      <c r="B18" s="240" t="s">
        <v>78</v>
      </c>
      <c r="C18" s="35">
        <v>4827.7316000000001</v>
      </c>
      <c r="D18" s="35">
        <v>5704.7694000000001</v>
      </c>
      <c r="E18" s="35">
        <v>6062.1760000000004</v>
      </c>
      <c r="F18" s="35">
        <v>10991.862499999999</v>
      </c>
      <c r="G18" s="35">
        <v>5158.8114999999998</v>
      </c>
      <c r="H18" s="35">
        <v>9818.2716999999993</v>
      </c>
    </row>
    <row r="19" spans="2:23" x14ac:dyDescent="0.2">
      <c r="B19" s="240" t="s">
        <v>79</v>
      </c>
      <c r="C19" s="35">
        <v>1623.3637000000001</v>
      </c>
      <c r="D19" s="35">
        <v>3699.3847000000001</v>
      </c>
      <c r="E19" s="35">
        <v>6102.2655000000004</v>
      </c>
      <c r="F19" s="35">
        <v>7879.9835000000003</v>
      </c>
      <c r="G19" s="35">
        <v>2824.6122</v>
      </c>
      <c r="H19" s="35">
        <v>6952.0042999999996</v>
      </c>
    </row>
    <row r="20" spans="2:23" x14ac:dyDescent="0.2">
      <c r="B20" s="240" t="s">
        <v>80</v>
      </c>
      <c r="C20" s="35">
        <v>1835.5191</v>
      </c>
      <c r="D20" s="35">
        <v>3437.3957</v>
      </c>
      <c r="E20" s="35">
        <v>5060.0542999999998</v>
      </c>
      <c r="F20" s="35">
        <v>7893.3972999999996</v>
      </c>
      <c r="G20" s="35">
        <v>2700.3445000000002</v>
      </c>
      <c r="H20" s="35">
        <v>6904.2861999999996</v>
      </c>
    </row>
    <row r="21" spans="2:23" x14ac:dyDescent="0.2">
      <c r="B21" s="240" t="s">
        <v>81</v>
      </c>
      <c r="C21" s="35">
        <v>2004.2184999999999</v>
      </c>
      <c r="D21" s="35">
        <v>2030.2691</v>
      </c>
      <c r="E21" s="35">
        <v>3992.3705</v>
      </c>
      <c r="F21" s="35">
        <v>3997.4479000000001</v>
      </c>
      <c r="G21" s="35">
        <v>2537.444</v>
      </c>
      <c r="H21" s="35">
        <v>3560.7876999999999</v>
      </c>
    </row>
    <row r="22" spans="2:23" x14ac:dyDescent="0.2">
      <c r="B22" s="240" t="s">
        <v>82</v>
      </c>
      <c r="C22" s="35">
        <v>2169.6147000000001</v>
      </c>
      <c r="D22" s="35">
        <v>3221.3211000000001</v>
      </c>
      <c r="E22" s="35">
        <v>2544.4926999999998</v>
      </c>
      <c r="F22" s="35">
        <v>2110.0594999999998</v>
      </c>
      <c r="G22" s="35">
        <v>2270.1576</v>
      </c>
      <c r="H22" s="35">
        <v>2356.7293</v>
      </c>
    </row>
    <row r="23" spans="2:23" x14ac:dyDescent="0.2">
      <c r="B23" s="230" t="s">
        <v>87</v>
      </c>
      <c r="C23" s="31">
        <v>12460.4476</v>
      </c>
      <c r="D23" s="31">
        <v>18093.139899999998</v>
      </c>
      <c r="E23" s="31">
        <v>23761.359</v>
      </c>
      <c r="F23" s="31">
        <v>32872.750599999999</v>
      </c>
      <c r="G23" s="31">
        <v>15491.3698</v>
      </c>
      <c r="H23" s="31">
        <v>29592.0792</v>
      </c>
    </row>
    <row r="24" spans="2:23" x14ac:dyDescent="0.2">
      <c r="B24" s="296" t="s">
        <v>30</v>
      </c>
      <c r="C24" s="297"/>
      <c r="D24" s="297"/>
      <c r="E24" s="297"/>
      <c r="F24" s="297"/>
      <c r="G24" s="297"/>
      <c r="H24" s="297"/>
    </row>
    <row r="25" spans="2:23" ht="14.25" x14ac:dyDescent="0.2">
      <c r="B25" s="230" t="s">
        <v>423</v>
      </c>
      <c r="C25" s="31">
        <v>43217.64</v>
      </c>
      <c r="D25" s="31">
        <v>66903.61</v>
      </c>
      <c r="E25" s="31">
        <v>94655.1</v>
      </c>
      <c r="F25" s="31">
        <v>113705.62</v>
      </c>
      <c r="G25" s="31">
        <v>57013.25</v>
      </c>
      <c r="H25" s="31">
        <v>103316.85</v>
      </c>
    </row>
    <row r="26" spans="2:23" x14ac:dyDescent="0.2">
      <c r="B26" s="296" t="s">
        <v>564</v>
      </c>
      <c r="C26" s="297"/>
      <c r="D26" s="297"/>
      <c r="E26" s="297"/>
      <c r="F26" s="297"/>
      <c r="G26" s="297"/>
      <c r="H26" s="297"/>
    </row>
    <row r="27" spans="2:23" x14ac:dyDescent="0.2">
      <c r="B27" s="240" t="s">
        <v>83</v>
      </c>
      <c r="C27" s="35">
        <v>136049.43700000001</v>
      </c>
      <c r="D27" s="35">
        <v>105095.7656</v>
      </c>
      <c r="E27" s="35">
        <v>425056.80660000001</v>
      </c>
      <c r="F27" s="35">
        <v>215019.1611</v>
      </c>
      <c r="G27" s="35">
        <v>213561.66680000001</v>
      </c>
      <c r="H27" s="35">
        <v>190619.15820000001</v>
      </c>
    </row>
    <row r="28" spans="2:23" x14ac:dyDescent="0.2">
      <c r="B28" s="240" t="s">
        <v>631</v>
      </c>
      <c r="C28" s="35">
        <v>4332.8586999999998</v>
      </c>
      <c r="D28" s="35">
        <v>5121.5883000000003</v>
      </c>
      <c r="E28" s="35">
        <v>18064.463299999999</v>
      </c>
      <c r="F28" s="35">
        <v>9833.0627000000004</v>
      </c>
      <c r="G28" s="35">
        <v>8015.6966000000002</v>
      </c>
      <c r="H28" s="35">
        <v>8787.2435999999998</v>
      </c>
    </row>
    <row r="29" spans="2:23" x14ac:dyDescent="0.2">
      <c r="B29" s="240" t="s">
        <v>84</v>
      </c>
      <c r="C29" s="35">
        <v>111384.4978</v>
      </c>
      <c r="D29" s="35">
        <v>177057.25049999999</v>
      </c>
      <c r="E29" s="35">
        <v>446712.20750000002</v>
      </c>
      <c r="F29" s="35">
        <v>384664.61349999998</v>
      </c>
      <c r="G29" s="35">
        <v>201319.9154</v>
      </c>
      <c r="H29" s="35">
        <v>338581.4276</v>
      </c>
    </row>
    <row r="30" spans="2:23" x14ac:dyDescent="0.2">
      <c r="B30" s="240" t="s">
        <v>624</v>
      </c>
      <c r="C30" s="35">
        <v>6473.2064</v>
      </c>
      <c r="D30" s="35">
        <v>11448.811799999999</v>
      </c>
      <c r="E30" s="35">
        <v>25871.151999999998</v>
      </c>
      <c r="F30" s="35">
        <v>30452.357800000002</v>
      </c>
      <c r="G30" s="35">
        <v>11675.765799999999</v>
      </c>
      <c r="H30" s="35">
        <v>26234.0877</v>
      </c>
      <c r="M30" s="292"/>
      <c r="N30" s="292"/>
      <c r="O30" s="292"/>
      <c r="P30" s="292"/>
      <c r="Q30" s="292"/>
      <c r="R30" s="292"/>
      <c r="S30" s="292"/>
      <c r="T30" s="292"/>
      <c r="U30" s="292"/>
      <c r="V30" s="292"/>
      <c r="W30" s="292"/>
    </row>
    <row r="31" spans="2:23" x14ac:dyDescent="0.2">
      <c r="B31" s="240" t="s">
        <v>85</v>
      </c>
      <c r="C31" s="35">
        <v>4895.1752999999999</v>
      </c>
      <c r="D31" s="35">
        <v>6817.5221000000001</v>
      </c>
      <c r="E31" s="35">
        <v>15581.481900000001</v>
      </c>
      <c r="F31" s="35">
        <v>11263.9895</v>
      </c>
      <c r="G31" s="35">
        <v>7761.2595000000001</v>
      </c>
      <c r="H31" s="35">
        <v>10276.994699999999</v>
      </c>
    </row>
    <row r="32" spans="2:23" ht="14.25" x14ac:dyDescent="0.2">
      <c r="B32" s="230" t="s">
        <v>422</v>
      </c>
      <c r="C32" s="31">
        <v>263163.17</v>
      </c>
      <c r="D32" s="31">
        <v>305552.27</v>
      </c>
      <c r="E32" s="31">
        <v>931351.84</v>
      </c>
      <c r="F32" s="31">
        <v>651253.63</v>
      </c>
      <c r="G32" s="31">
        <v>442372.42</v>
      </c>
      <c r="H32" s="31">
        <v>574517.34</v>
      </c>
      <c r="L32" s="48"/>
      <c r="M32" s="48"/>
      <c r="N32" s="48"/>
      <c r="O32" s="48"/>
      <c r="P32" s="48"/>
      <c r="Q32" s="48"/>
      <c r="R32" s="48"/>
      <c r="S32" s="48"/>
      <c r="T32" s="48"/>
      <c r="U32" s="48"/>
      <c r="V32" s="48"/>
      <c r="W32" s="48"/>
    </row>
    <row r="33" spans="2:23" x14ac:dyDescent="0.2">
      <c r="B33" s="296" t="s">
        <v>86</v>
      </c>
      <c r="C33" s="297"/>
      <c r="D33" s="297"/>
      <c r="E33" s="297"/>
      <c r="F33" s="297"/>
      <c r="G33" s="297"/>
      <c r="H33" s="297"/>
      <c r="L33" s="48"/>
      <c r="M33" s="48"/>
      <c r="N33" s="48"/>
      <c r="O33" s="48"/>
      <c r="P33" s="48"/>
      <c r="Q33" s="48"/>
      <c r="R33" s="48"/>
      <c r="S33" s="48"/>
      <c r="T33" s="48"/>
      <c r="U33" s="48"/>
      <c r="V33" s="48"/>
      <c r="W33" s="48"/>
    </row>
    <row r="34" spans="2:23" x14ac:dyDescent="0.2">
      <c r="B34" s="230" t="s">
        <v>86</v>
      </c>
      <c r="C34" s="31">
        <v>85622.05</v>
      </c>
      <c r="D34" s="31">
        <v>189991.53</v>
      </c>
      <c r="E34" s="31">
        <v>326372.21000000002</v>
      </c>
      <c r="F34" s="31">
        <v>416349.74</v>
      </c>
      <c r="G34" s="31">
        <v>150191.62</v>
      </c>
      <c r="H34" s="31">
        <v>366104.38</v>
      </c>
      <c r="L34" s="48"/>
      <c r="M34" s="48"/>
      <c r="N34" s="48"/>
      <c r="O34" s="48"/>
      <c r="P34" s="48"/>
      <c r="Q34" s="48"/>
      <c r="R34" s="48"/>
      <c r="S34" s="48"/>
      <c r="T34" s="48"/>
      <c r="U34" s="48"/>
      <c r="V34" s="48"/>
      <c r="W34" s="48"/>
    </row>
    <row r="35" spans="2:23" x14ac:dyDescent="0.2">
      <c r="B35" s="296" t="s">
        <v>32</v>
      </c>
      <c r="C35" s="297"/>
      <c r="D35" s="297"/>
      <c r="E35" s="297"/>
      <c r="F35" s="297"/>
      <c r="G35" s="297"/>
      <c r="H35" s="297"/>
      <c r="L35" s="48"/>
      <c r="M35" s="48"/>
      <c r="N35" s="48"/>
      <c r="O35" s="48"/>
      <c r="P35" s="48"/>
      <c r="Q35" s="48"/>
      <c r="R35" s="48"/>
      <c r="S35" s="48"/>
      <c r="T35" s="48"/>
      <c r="U35" s="48"/>
      <c r="V35" s="48"/>
      <c r="W35" s="48"/>
    </row>
    <row r="36" spans="2:23" ht="14.25" x14ac:dyDescent="0.2">
      <c r="B36" s="230" t="s">
        <v>426</v>
      </c>
      <c r="C36" s="31">
        <v>183383.66</v>
      </c>
      <c r="D36" s="31">
        <v>132604.06</v>
      </c>
      <c r="E36" s="31">
        <v>616413.23</v>
      </c>
      <c r="F36" s="31">
        <v>265251.19</v>
      </c>
      <c r="G36" s="31">
        <v>299522.87</v>
      </c>
      <c r="H36" s="31">
        <v>235807.13</v>
      </c>
      <c r="L36" s="48"/>
      <c r="M36" s="48"/>
      <c r="N36" s="48"/>
      <c r="O36" s="48"/>
      <c r="P36" s="48"/>
      <c r="Q36" s="48"/>
      <c r="R36" s="48"/>
      <c r="S36" s="48"/>
      <c r="T36" s="48"/>
      <c r="U36" s="48"/>
      <c r="V36" s="48"/>
      <c r="W36" s="48"/>
    </row>
    <row r="37" spans="2:23" x14ac:dyDescent="0.2">
      <c r="L37" s="48"/>
      <c r="M37" s="48"/>
      <c r="N37" s="48"/>
      <c r="O37" s="48"/>
      <c r="P37" s="48"/>
      <c r="Q37" s="48"/>
      <c r="R37" s="48"/>
      <c r="S37" s="48"/>
      <c r="T37" s="48"/>
      <c r="U37" s="48"/>
      <c r="V37" s="48"/>
      <c r="W37" s="48"/>
    </row>
    <row r="38" spans="2:23" s="114" customFormat="1" x14ac:dyDescent="0.2">
      <c r="B38" s="300" t="s">
        <v>33</v>
      </c>
      <c r="C38" s="292"/>
      <c r="D38" s="292"/>
      <c r="E38" s="292"/>
      <c r="F38" s="292"/>
      <c r="G38" s="292"/>
      <c r="H38" s="292"/>
      <c r="L38" s="48"/>
      <c r="M38" s="48"/>
      <c r="N38" s="48"/>
      <c r="O38" s="48"/>
      <c r="P38" s="48"/>
      <c r="Q38" s="48"/>
      <c r="R38" s="48"/>
      <c r="S38" s="48"/>
      <c r="T38" s="48"/>
      <c r="U38" s="48"/>
      <c r="V38" s="48"/>
      <c r="W38" s="48"/>
    </row>
    <row r="39" spans="2:23" ht="39.75" customHeight="1" x14ac:dyDescent="0.2">
      <c r="B39" s="298" t="s">
        <v>632</v>
      </c>
      <c r="C39" s="299"/>
      <c r="D39" s="299"/>
      <c r="E39" s="299"/>
      <c r="F39" s="299"/>
      <c r="G39" s="299"/>
      <c r="H39" s="299"/>
    </row>
  </sheetData>
  <mergeCells count="14">
    <mergeCell ref="B33:H33"/>
    <mergeCell ref="B35:H35"/>
    <mergeCell ref="B39:H39"/>
    <mergeCell ref="B6:H6"/>
    <mergeCell ref="B17:H17"/>
    <mergeCell ref="B24:H24"/>
    <mergeCell ref="B26:H26"/>
    <mergeCell ref="B38:H38"/>
    <mergeCell ref="B3:B4"/>
    <mergeCell ref="C3:D3"/>
    <mergeCell ref="E3:F3"/>
    <mergeCell ref="G3:H3"/>
    <mergeCell ref="T30:W30"/>
    <mergeCell ref="M30:S30"/>
  </mergeCells>
  <pageMargins left="0.78740157480314965" right="0.78740157480314965" top="0.98425196850393704" bottom="0.98425196850393704" header="0.51181102362204722" footer="0.51181102362204722"/>
  <pageSetup paperSize="9" scale="84" orientation="landscape" r:id="rId1"/>
  <headerFooter alignWithMargins="0"/>
  <rowBreaks count="1" manualBreakCount="1">
    <brk id="49"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6E51"/>
    <pageSetUpPr fitToPage="1"/>
  </sheetPr>
  <dimension ref="B1:Z40"/>
  <sheetViews>
    <sheetView view="pageBreakPreview" zoomScaleNormal="100" zoomScaleSheetLayoutView="100" workbookViewId="0">
      <selection activeCell="B1" sqref="B1"/>
    </sheetView>
  </sheetViews>
  <sheetFormatPr baseColWidth="10" defaultRowHeight="12.75" x14ac:dyDescent="0.2"/>
  <cols>
    <col min="1" max="1" width="2" style="76" customWidth="1"/>
    <col min="2" max="2" width="41.28515625" style="76" customWidth="1"/>
    <col min="3" max="3" width="20.28515625" style="76" customWidth="1"/>
    <col min="4" max="4" width="13.7109375" style="76" customWidth="1"/>
    <col min="5" max="8" width="12.7109375" style="76" customWidth="1"/>
    <col min="9" max="16384" width="11.42578125" style="76"/>
  </cols>
  <sheetData>
    <row r="1" spans="2:26" s="11" customFormat="1" ht="15.75" x14ac:dyDescent="0.2">
      <c r="B1" s="186" t="str">
        <f>Inhaltsverzeichnis!B33&amp;" "&amp;Inhaltsverzeichnis!C33&amp;" "&amp;Inhaltsverzeichnis!E33</f>
        <v>Tabelle 10: Zusammensetzung des Reineinkommens und des Reinvermögens nach Verdienerzahl, 2014, in Franken pro Pflichtigen (unter 65 Jahren)</v>
      </c>
      <c r="C1" s="187"/>
      <c r="D1" s="187"/>
      <c r="E1" s="187"/>
      <c r="F1" s="187"/>
      <c r="G1" s="187"/>
      <c r="H1" s="187"/>
      <c r="I1" s="187"/>
      <c r="J1" s="187"/>
      <c r="K1" s="187"/>
      <c r="L1" s="187"/>
      <c r="M1" s="187"/>
      <c r="N1" s="187"/>
      <c r="O1" s="187"/>
      <c r="P1" s="187"/>
      <c r="Q1" s="187"/>
      <c r="R1" s="73"/>
      <c r="S1" s="73"/>
      <c r="T1" s="73"/>
      <c r="U1" s="73"/>
      <c r="V1" s="73"/>
      <c r="W1" s="73"/>
      <c r="X1" s="73"/>
      <c r="Y1" s="73"/>
      <c r="Z1" s="73"/>
    </row>
    <row r="3" spans="2:26" x14ac:dyDescent="0.2">
      <c r="B3" s="278" t="s">
        <v>565</v>
      </c>
      <c r="C3" s="315" t="s">
        <v>97</v>
      </c>
      <c r="D3" s="311" t="s">
        <v>67</v>
      </c>
      <c r="E3" s="318"/>
      <c r="F3" s="318"/>
      <c r="G3" s="318"/>
      <c r="H3" s="274" t="s">
        <v>0</v>
      </c>
    </row>
    <row r="4" spans="2:26" s="45" customFormat="1" x14ac:dyDescent="0.2">
      <c r="B4" s="314"/>
      <c r="C4" s="316"/>
      <c r="D4" s="311" t="s">
        <v>98</v>
      </c>
      <c r="E4" s="319"/>
      <c r="F4" s="311" t="s">
        <v>99</v>
      </c>
      <c r="G4" s="320"/>
      <c r="H4" s="314"/>
    </row>
    <row r="5" spans="2:26" s="45" customFormat="1" ht="18" customHeight="1" x14ac:dyDescent="0.2">
      <c r="B5" s="305"/>
      <c r="C5" s="317"/>
      <c r="D5" s="182" t="s">
        <v>95</v>
      </c>
      <c r="E5" s="46" t="s">
        <v>96</v>
      </c>
      <c r="F5" s="46" t="s">
        <v>95</v>
      </c>
      <c r="G5" s="183" t="s">
        <v>96</v>
      </c>
      <c r="H5" s="314"/>
    </row>
    <row r="6" spans="2:26" s="45" customFormat="1" ht="14.25" x14ac:dyDescent="0.2">
      <c r="B6" s="234" t="s">
        <v>421</v>
      </c>
      <c r="C6" s="101">
        <v>185752.54310129999</v>
      </c>
      <c r="D6" s="101">
        <v>9867.9520721999997</v>
      </c>
      <c r="E6" s="101">
        <v>13107.937418699999</v>
      </c>
      <c r="F6" s="101">
        <v>30654.820383400001</v>
      </c>
      <c r="G6" s="101">
        <v>47395.183511800002</v>
      </c>
      <c r="H6" s="101">
        <v>286778.43648759997</v>
      </c>
    </row>
    <row r="7" spans="2:26" x14ac:dyDescent="0.2">
      <c r="B7" s="293" t="s">
        <v>563</v>
      </c>
      <c r="C7" s="294"/>
      <c r="D7" s="294"/>
      <c r="E7" s="294"/>
      <c r="F7" s="294"/>
      <c r="G7" s="294"/>
      <c r="H7" s="295"/>
      <c r="I7" s="99"/>
      <c r="J7" s="99"/>
      <c r="K7" s="99"/>
      <c r="L7" s="99"/>
    </row>
    <row r="8" spans="2:26" x14ac:dyDescent="0.2">
      <c r="B8" s="239" t="s">
        <v>69</v>
      </c>
      <c r="C8" s="35">
        <v>48176.7601</v>
      </c>
      <c r="D8" s="35">
        <v>67708.242299999998</v>
      </c>
      <c r="E8" s="35">
        <v>104931.41620000001</v>
      </c>
      <c r="F8" s="35">
        <v>75866.668600000005</v>
      </c>
      <c r="G8" s="35">
        <v>91964.692800000004</v>
      </c>
      <c r="H8" s="35">
        <v>61639.552199999998</v>
      </c>
    </row>
    <row r="9" spans="2:26" x14ac:dyDescent="0.2">
      <c r="B9" s="239" t="s">
        <v>70</v>
      </c>
      <c r="C9" s="35">
        <v>0</v>
      </c>
      <c r="D9" s="35">
        <v>0</v>
      </c>
      <c r="E9" s="35">
        <v>0</v>
      </c>
      <c r="F9" s="35">
        <v>42675.526700000002</v>
      </c>
      <c r="G9" s="35">
        <v>34116.467799999999</v>
      </c>
      <c r="H9" s="35">
        <v>10200.093500000001</v>
      </c>
    </row>
    <row r="10" spans="2:26" x14ac:dyDescent="0.2">
      <c r="B10" s="239" t="s">
        <v>71</v>
      </c>
      <c r="C10" s="35">
        <v>2335.2228</v>
      </c>
      <c r="D10" s="35">
        <v>6364.3804</v>
      </c>
      <c r="E10" s="35">
        <v>5316.3877000000002</v>
      </c>
      <c r="F10" s="35">
        <v>6229.0078999999996</v>
      </c>
      <c r="G10" s="35">
        <v>7201.9958999999999</v>
      </c>
      <c r="H10" s="35">
        <v>3830.6677</v>
      </c>
    </row>
    <row r="11" spans="2:26" x14ac:dyDescent="0.2">
      <c r="B11" s="239" t="s">
        <v>72</v>
      </c>
      <c r="C11" s="35">
        <v>0</v>
      </c>
      <c r="D11" s="35">
        <v>0</v>
      </c>
      <c r="E11" s="35">
        <v>0</v>
      </c>
      <c r="F11" s="35">
        <v>2115.7289999999998</v>
      </c>
      <c r="G11" s="35">
        <v>1717.9568999999999</v>
      </c>
      <c r="H11" s="35">
        <v>510.08080000000001</v>
      </c>
    </row>
    <row r="12" spans="2:26" x14ac:dyDescent="0.2">
      <c r="B12" s="240" t="s">
        <v>630</v>
      </c>
      <c r="C12" s="35">
        <v>3792.0970000000002</v>
      </c>
      <c r="D12" s="35">
        <v>11376.100399999999</v>
      </c>
      <c r="E12" s="35">
        <v>3400.5317</v>
      </c>
      <c r="F12" s="35">
        <v>5013.5325000000003</v>
      </c>
      <c r="G12" s="35">
        <v>2320.8492999999999</v>
      </c>
      <c r="H12" s="35">
        <v>3922.5767999999998</v>
      </c>
    </row>
    <row r="13" spans="2:26" x14ac:dyDescent="0.2">
      <c r="B13" s="240" t="s">
        <v>419</v>
      </c>
      <c r="C13" s="35">
        <v>0</v>
      </c>
      <c r="D13" s="35">
        <v>7422.9017999999996</v>
      </c>
      <c r="E13" s="35">
        <v>2622.9447</v>
      </c>
      <c r="F13" s="35">
        <v>1278.2646</v>
      </c>
      <c r="G13" s="35">
        <v>692.77859999999998</v>
      </c>
      <c r="H13" s="35">
        <v>626.44029999999998</v>
      </c>
    </row>
    <row r="14" spans="2:26" x14ac:dyDescent="0.2">
      <c r="B14" s="240" t="s">
        <v>603</v>
      </c>
      <c r="C14" s="35">
        <v>1113.7850000000001</v>
      </c>
      <c r="D14" s="35">
        <v>4349.2281000000003</v>
      </c>
      <c r="E14" s="35">
        <v>4751.1100999999999</v>
      </c>
      <c r="F14" s="35">
        <v>4864.8329999999996</v>
      </c>
      <c r="G14" s="35">
        <v>4983.4794000000002</v>
      </c>
      <c r="H14" s="35">
        <v>2431.8674000000001</v>
      </c>
    </row>
    <row r="15" spans="2:26" x14ac:dyDescent="0.2">
      <c r="B15" s="240" t="s">
        <v>74</v>
      </c>
      <c r="C15" s="35">
        <v>1927.5997</v>
      </c>
      <c r="D15" s="35">
        <v>8114.6468999999997</v>
      </c>
      <c r="E15" s="35">
        <v>6614.8630999999996</v>
      </c>
      <c r="F15" s="35">
        <v>7723.2819</v>
      </c>
      <c r="G15" s="35">
        <v>7691.2501000000002</v>
      </c>
      <c r="H15" s="35">
        <v>3926.8040999999998</v>
      </c>
    </row>
    <row r="16" spans="2:26" x14ac:dyDescent="0.2">
      <c r="B16" s="240" t="s">
        <v>75</v>
      </c>
      <c r="C16" s="35">
        <v>1395.1097</v>
      </c>
      <c r="D16" s="35">
        <v>365.14749999999998</v>
      </c>
      <c r="E16" s="35">
        <v>538.25850000000003</v>
      </c>
      <c r="F16" s="35">
        <v>139.25909999999999</v>
      </c>
      <c r="G16" s="35">
        <v>455.39370000000002</v>
      </c>
      <c r="H16" s="35">
        <v>1030.9573</v>
      </c>
    </row>
    <row r="17" spans="2:23" ht="14.25" x14ac:dyDescent="0.2">
      <c r="B17" s="230" t="s">
        <v>424</v>
      </c>
      <c r="C17" s="31">
        <v>58797.95</v>
      </c>
      <c r="D17" s="31">
        <v>105845.24</v>
      </c>
      <c r="E17" s="31">
        <v>128317.47</v>
      </c>
      <c r="F17" s="31">
        <v>145985.20000000001</v>
      </c>
      <c r="G17" s="31">
        <v>151281.07</v>
      </c>
      <c r="H17" s="31">
        <v>88198.63</v>
      </c>
    </row>
    <row r="18" spans="2:23" x14ac:dyDescent="0.2">
      <c r="B18" s="296" t="s">
        <v>77</v>
      </c>
      <c r="C18" s="297"/>
      <c r="D18" s="297"/>
      <c r="E18" s="297"/>
      <c r="F18" s="297"/>
      <c r="G18" s="297"/>
      <c r="H18" s="297"/>
    </row>
    <row r="19" spans="2:23" x14ac:dyDescent="0.2">
      <c r="B19" s="240" t="s">
        <v>78</v>
      </c>
      <c r="C19" s="35">
        <v>5904.2263000000003</v>
      </c>
      <c r="D19" s="35">
        <v>5320.4944999999998</v>
      </c>
      <c r="E19" s="35">
        <v>7767.3419999999996</v>
      </c>
      <c r="F19" s="35">
        <v>11977.3068</v>
      </c>
      <c r="G19" s="35">
        <v>11980.9411</v>
      </c>
      <c r="H19" s="35">
        <v>7622.7570999999998</v>
      </c>
    </row>
    <row r="20" spans="2:23" x14ac:dyDescent="0.2">
      <c r="B20" s="240" t="s">
        <v>79</v>
      </c>
      <c r="C20" s="35">
        <v>1709.6257000000001</v>
      </c>
      <c r="D20" s="35">
        <v>5742.5348999999997</v>
      </c>
      <c r="E20" s="35">
        <v>6625.2905000000001</v>
      </c>
      <c r="F20" s="35">
        <v>7497.9155000000001</v>
      </c>
      <c r="G20" s="35">
        <v>8186.1355999999996</v>
      </c>
      <c r="H20" s="35">
        <v>3762.1689999999999</v>
      </c>
    </row>
    <row r="21" spans="2:23" x14ac:dyDescent="0.2">
      <c r="B21" s="240" t="s">
        <v>80</v>
      </c>
      <c r="C21" s="35">
        <v>2351.3344999999999</v>
      </c>
      <c r="D21" s="35">
        <v>4482.4804000000004</v>
      </c>
      <c r="E21" s="35">
        <v>5286.5393000000004</v>
      </c>
      <c r="F21" s="35">
        <v>9962.14</v>
      </c>
      <c r="G21" s="35">
        <v>8621.9883000000009</v>
      </c>
      <c r="H21" s="35">
        <v>4408.7109</v>
      </c>
    </row>
    <row r="22" spans="2:23" x14ac:dyDescent="0.2">
      <c r="B22" s="240" t="s">
        <v>81</v>
      </c>
      <c r="C22" s="35">
        <v>2007.1989000000001</v>
      </c>
      <c r="D22" s="35">
        <v>3957.3191000000002</v>
      </c>
      <c r="E22" s="35">
        <v>3992.7876999999999</v>
      </c>
      <c r="F22" s="35">
        <v>3995.5136000000002</v>
      </c>
      <c r="G22" s="35">
        <v>3998.7606999999998</v>
      </c>
      <c r="H22" s="35">
        <v>2706.7372999999998</v>
      </c>
    </row>
    <row r="23" spans="2:23" x14ac:dyDescent="0.2">
      <c r="B23" s="240" t="s">
        <v>82</v>
      </c>
      <c r="C23" s="35">
        <v>1728.4250999999999</v>
      </c>
      <c r="D23" s="35">
        <v>1898.6458</v>
      </c>
      <c r="E23" s="35">
        <v>1161.6889000000001</v>
      </c>
      <c r="F23" s="35">
        <v>1888.1078</v>
      </c>
      <c r="G23" s="35">
        <v>2350.1857</v>
      </c>
      <c r="H23" s="35">
        <v>1828.2041999999999</v>
      </c>
    </row>
    <row r="24" spans="2:23" x14ac:dyDescent="0.2">
      <c r="B24" s="230" t="s">
        <v>87</v>
      </c>
      <c r="C24" s="31">
        <v>13700.810600000001</v>
      </c>
      <c r="D24" s="31">
        <v>21401.474699999999</v>
      </c>
      <c r="E24" s="31">
        <v>24833.648300000001</v>
      </c>
      <c r="F24" s="31">
        <v>35320.983699999997</v>
      </c>
      <c r="G24" s="31">
        <v>35138.011400000003</v>
      </c>
      <c r="H24" s="31">
        <v>20328.5785</v>
      </c>
    </row>
    <row r="25" spans="2:23" x14ac:dyDescent="0.2">
      <c r="B25" s="296" t="s">
        <v>30</v>
      </c>
      <c r="C25" s="297"/>
      <c r="D25" s="297"/>
      <c r="E25" s="297"/>
      <c r="F25" s="297"/>
      <c r="G25" s="297"/>
      <c r="H25" s="297"/>
    </row>
    <row r="26" spans="2:23" ht="14.25" x14ac:dyDescent="0.2">
      <c r="B26" s="230" t="s">
        <v>423</v>
      </c>
      <c r="C26" s="31">
        <v>45306.63</v>
      </c>
      <c r="D26" s="31">
        <v>84624.57</v>
      </c>
      <c r="E26" s="31">
        <v>103605.12</v>
      </c>
      <c r="F26" s="31">
        <v>110780.44</v>
      </c>
      <c r="G26" s="31">
        <v>116226.78</v>
      </c>
      <c r="H26" s="31">
        <v>68043.77</v>
      </c>
    </row>
    <row r="27" spans="2:23" x14ac:dyDescent="0.2">
      <c r="B27" s="296" t="s">
        <v>564</v>
      </c>
      <c r="C27" s="297"/>
      <c r="D27" s="297"/>
      <c r="E27" s="297"/>
      <c r="F27" s="297"/>
      <c r="G27" s="297"/>
      <c r="H27" s="297"/>
    </row>
    <row r="28" spans="2:23" x14ac:dyDescent="0.2">
      <c r="B28" s="240" t="s">
        <v>83</v>
      </c>
      <c r="C28" s="35">
        <v>79867.586800000005</v>
      </c>
      <c r="D28" s="35">
        <v>276649.50799999997</v>
      </c>
      <c r="E28" s="35">
        <v>199507.5865</v>
      </c>
      <c r="F28" s="35">
        <v>272446.46110000001</v>
      </c>
      <c r="G28" s="35">
        <v>213280.39379999999</v>
      </c>
      <c r="H28" s="35">
        <v>134741.5294</v>
      </c>
    </row>
    <row r="29" spans="2:23" x14ac:dyDescent="0.2">
      <c r="B29" s="240" t="s">
        <v>631</v>
      </c>
      <c r="C29" s="35">
        <v>3483.9751999999999</v>
      </c>
      <c r="D29" s="35">
        <v>14599.1746</v>
      </c>
      <c r="E29" s="35">
        <v>7432.8023000000003</v>
      </c>
      <c r="F29" s="35">
        <v>15429.235500000001</v>
      </c>
      <c r="G29" s="35">
        <v>10200.293600000001</v>
      </c>
      <c r="H29" s="35">
        <v>6433.8001999999997</v>
      </c>
    </row>
    <row r="30" spans="2:23" x14ac:dyDescent="0.2">
      <c r="B30" s="240" t="s">
        <v>84</v>
      </c>
      <c r="C30" s="35">
        <v>87154.587</v>
      </c>
      <c r="D30" s="35">
        <v>361548.27549999999</v>
      </c>
      <c r="E30" s="35">
        <v>328909.4425</v>
      </c>
      <c r="F30" s="35">
        <v>401222.0906</v>
      </c>
      <c r="G30" s="35">
        <v>394220.34759999998</v>
      </c>
      <c r="H30" s="35">
        <v>191966.27590000001</v>
      </c>
    </row>
    <row r="31" spans="2:23" x14ac:dyDescent="0.2">
      <c r="B31" s="240" t="s">
        <v>624</v>
      </c>
      <c r="C31" s="35">
        <v>6685.1325999999999</v>
      </c>
      <c r="D31" s="35">
        <v>27901.966400000001</v>
      </c>
      <c r="E31" s="35">
        <v>23476.326300000001</v>
      </c>
      <c r="F31" s="35">
        <v>30321.952000000001</v>
      </c>
      <c r="G31" s="35">
        <v>31911.175200000001</v>
      </c>
      <c r="H31" s="35">
        <v>14878.3567</v>
      </c>
      <c r="M31" s="292"/>
      <c r="N31" s="292"/>
      <c r="O31" s="292"/>
      <c r="P31" s="292"/>
      <c r="Q31" s="292"/>
      <c r="R31" s="292"/>
      <c r="S31" s="292"/>
      <c r="T31" s="292"/>
      <c r="U31" s="292"/>
      <c r="V31" s="292"/>
      <c r="W31" s="292"/>
    </row>
    <row r="32" spans="2:23" x14ac:dyDescent="0.2">
      <c r="B32" s="240" t="s">
        <v>85</v>
      </c>
      <c r="C32" s="35">
        <v>4588.5591000000004</v>
      </c>
      <c r="D32" s="35">
        <v>15656.4403</v>
      </c>
      <c r="E32" s="35">
        <v>10888.3658</v>
      </c>
      <c r="F32" s="35">
        <v>13773.235699999999</v>
      </c>
      <c r="G32" s="35">
        <v>11091.2768</v>
      </c>
      <c r="H32" s="35">
        <v>7313.8229000000001</v>
      </c>
    </row>
    <row r="33" spans="2:23" ht="14.25" x14ac:dyDescent="0.2">
      <c r="B33" s="230" t="s">
        <v>422</v>
      </c>
      <c r="C33" s="31">
        <v>181792.13</v>
      </c>
      <c r="D33" s="31">
        <v>696356.4</v>
      </c>
      <c r="E33" s="31">
        <v>570264.19999999995</v>
      </c>
      <c r="F33" s="31">
        <v>733345.42</v>
      </c>
      <c r="G33" s="31">
        <v>660716.17000000004</v>
      </c>
      <c r="H33" s="31">
        <v>355362.44</v>
      </c>
      <c r="L33" s="48"/>
      <c r="M33" s="48"/>
      <c r="N33" s="48"/>
      <c r="O33" s="48"/>
      <c r="P33" s="48"/>
      <c r="Q33" s="48"/>
      <c r="R33" s="48"/>
      <c r="S33" s="48"/>
      <c r="T33" s="48"/>
      <c r="U33" s="48"/>
      <c r="V33" s="48"/>
      <c r="W33" s="48"/>
    </row>
    <row r="34" spans="2:23" x14ac:dyDescent="0.2">
      <c r="B34" s="296" t="s">
        <v>86</v>
      </c>
      <c r="C34" s="297"/>
      <c r="D34" s="297"/>
      <c r="E34" s="297"/>
      <c r="F34" s="297"/>
      <c r="G34" s="297"/>
      <c r="H34" s="297"/>
      <c r="L34" s="48"/>
      <c r="M34" s="48"/>
      <c r="N34" s="48"/>
      <c r="O34" s="48"/>
      <c r="P34" s="48"/>
      <c r="Q34" s="48"/>
      <c r="R34" s="48"/>
      <c r="S34" s="48"/>
      <c r="T34" s="48"/>
      <c r="U34" s="48"/>
      <c r="V34" s="48"/>
      <c r="W34" s="48"/>
    </row>
    <row r="35" spans="2:23" x14ac:dyDescent="0.2">
      <c r="B35" s="230" t="s">
        <v>86</v>
      </c>
      <c r="C35" s="31">
        <v>89260.63</v>
      </c>
      <c r="D35" s="31">
        <v>307984.2</v>
      </c>
      <c r="E35" s="31">
        <v>351606.9</v>
      </c>
      <c r="F35" s="31">
        <v>394361.98</v>
      </c>
      <c r="G35" s="31">
        <v>431788.32</v>
      </c>
      <c r="H35" s="31">
        <v>198000.19</v>
      </c>
      <c r="L35" s="48"/>
      <c r="M35" s="48"/>
      <c r="N35" s="48"/>
      <c r="O35" s="48"/>
      <c r="P35" s="48"/>
      <c r="Q35" s="48"/>
      <c r="R35" s="48"/>
      <c r="S35" s="48"/>
      <c r="T35" s="48"/>
      <c r="U35" s="48"/>
      <c r="V35" s="48"/>
      <c r="W35" s="48"/>
    </row>
    <row r="36" spans="2:23" x14ac:dyDescent="0.2">
      <c r="B36" s="296" t="s">
        <v>32</v>
      </c>
      <c r="C36" s="297"/>
      <c r="D36" s="297"/>
      <c r="E36" s="297"/>
      <c r="F36" s="297"/>
      <c r="G36" s="297"/>
      <c r="H36" s="297"/>
      <c r="L36" s="48"/>
      <c r="M36" s="48"/>
      <c r="N36" s="48"/>
      <c r="O36" s="48"/>
      <c r="P36" s="48"/>
      <c r="Q36" s="48"/>
      <c r="R36" s="48"/>
      <c r="S36" s="48"/>
      <c r="T36" s="48"/>
      <c r="U36" s="48"/>
      <c r="V36" s="48"/>
      <c r="W36" s="48"/>
    </row>
    <row r="37" spans="2:23" ht="14.25" x14ac:dyDescent="0.2">
      <c r="B37" s="230" t="s">
        <v>426</v>
      </c>
      <c r="C37" s="31">
        <v>100366.81</v>
      </c>
      <c r="D37" s="31">
        <v>404977.91</v>
      </c>
      <c r="E37" s="31">
        <v>245473.56</v>
      </c>
      <c r="F37" s="31">
        <v>359482.86</v>
      </c>
      <c r="G37" s="31">
        <v>260625.35</v>
      </c>
      <c r="H37" s="31">
        <v>171664.28</v>
      </c>
      <c r="L37" s="48"/>
      <c r="M37" s="48"/>
      <c r="N37" s="48"/>
      <c r="O37" s="48"/>
      <c r="P37" s="48"/>
      <c r="Q37" s="48"/>
      <c r="R37" s="48"/>
      <c r="S37" s="48"/>
      <c r="T37" s="48"/>
      <c r="U37" s="48"/>
      <c r="V37" s="48"/>
      <c r="W37" s="48"/>
    </row>
    <row r="38" spans="2:23" x14ac:dyDescent="0.2">
      <c r="L38" s="48"/>
      <c r="M38" s="48"/>
      <c r="N38" s="48"/>
      <c r="O38" s="48"/>
      <c r="P38" s="48"/>
      <c r="Q38" s="48"/>
      <c r="R38" s="48"/>
      <c r="S38" s="48"/>
      <c r="T38" s="48"/>
      <c r="U38" s="48"/>
      <c r="V38" s="48"/>
      <c r="W38" s="48"/>
    </row>
    <row r="39" spans="2:23" s="114" customFormat="1" x14ac:dyDescent="0.2">
      <c r="B39" s="300" t="s">
        <v>431</v>
      </c>
      <c r="C39" s="292"/>
      <c r="D39" s="292"/>
      <c r="E39" s="292"/>
      <c r="F39" s="292"/>
      <c r="G39" s="292"/>
      <c r="H39" s="292"/>
      <c r="L39" s="48"/>
      <c r="M39" s="48"/>
      <c r="N39" s="48"/>
      <c r="O39" s="48"/>
      <c r="P39" s="48"/>
      <c r="Q39" s="48"/>
      <c r="R39" s="48"/>
      <c r="S39" s="48"/>
      <c r="T39" s="48"/>
      <c r="U39" s="48"/>
      <c r="V39" s="48"/>
      <c r="W39" s="48"/>
    </row>
    <row r="40" spans="2:23" ht="39.75" customHeight="1" x14ac:dyDescent="0.2">
      <c r="B40" s="298" t="s">
        <v>632</v>
      </c>
      <c r="C40" s="299"/>
      <c r="D40" s="299"/>
      <c r="E40" s="299"/>
      <c r="F40" s="299"/>
      <c r="G40" s="299"/>
      <c r="H40" s="299"/>
    </row>
  </sheetData>
  <mergeCells count="16">
    <mergeCell ref="H3:H5"/>
    <mergeCell ref="B7:H7"/>
    <mergeCell ref="B18:H18"/>
    <mergeCell ref="B25:H25"/>
    <mergeCell ref="B27:H27"/>
    <mergeCell ref="C3:C5"/>
    <mergeCell ref="B3:B5"/>
    <mergeCell ref="D3:G3"/>
    <mergeCell ref="D4:E4"/>
    <mergeCell ref="F4:G4"/>
    <mergeCell ref="M31:S31"/>
    <mergeCell ref="T31:W31"/>
    <mergeCell ref="B34:H34"/>
    <mergeCell ref="B36:H36"/>
    <mergeCell ref="B40:H40"/>
    <mergeCell ref="B39:H39"/>
  </mergeCells>
  <pageMargins left="0.78740157480314965" right="0.78740157480314965" top="0.98425196850393704" bottom="0.98425196850393704" header="0.51181102362204722" footer="0.51181102362204722"/>
  <pageSetup paperSize="9" scale="75" orientation="landscape" r:id="rId1"/>
  <headerFooter alignWithMargins="0"/>
  <rowBreaks count="1" manualBreakCount="1">
    <brk id="50"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6384" width="11.42578125" style="76"/>
  </cols>
  <sheetData>
    <row r="1" spans="2:32" s="11" customFormat="1" ht="15.75" x14ac:dyDescent="0.2">
      <c r="B1" s="186" t="str">
        <f>Inhaltsverzeichnis!B35&amp;" "&amp;Inhaltsverzeichnis!C35&amp;" "&amp;Inhaltsverzeichnis!E35</f>
        <v>Tabelle  11a: Verteilung der Pflichtigen und des Reineinkommens nach Zivilstand und Stufen des Reineinkommens,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x14ac:dyDescent="0.2">
      <c r="B3" s="284" t="s">
        <v>538</v>
      </c>
      <c r="C3" s="287" t="s">
        <v>63</v>
      </c>
      <c r="D3" s="283"/>
      <c r="E3" s="282" t="s">
        <v>67</v>
      </c>
      <c r="F3" s="286"/>
      <c r="G3" s="282" t="s">
        <v>101</v>
      </c>
      <c r="H3" s="283"/>
      <c r="I3" s="282" t="s">
        <v>66</v>
      </c>
      <c r="J3" s="283"/>
      <c r="K3" s="282" t="s">
        <v>68</v>
      </c>
      <c r="L3" s="283"/>
    </row>
    <row r="4" spans="2:32" ht="25.5" x14ac:dyDescent="0.2">
      <c r="B4" s="285"/>
      <c r="C4" s="47" t="s">
        <v>420</v>
      </c>
      <c r="D4" s="178" t="s">
        <v>535</v>
      </c>
      <c r="E4" s="171" t="s">
        <v>420</v>
      </c>
      <c r="F4" s="178" t="s">
        <v>535</v>
      </c>
      <c r="G4" s="171" t="s">
        <v>420</v>
      </c>
      <c r="H4" s="178" t="s">
        <v>535</v>
      </c>
      <c r="I4" s="171" t="s">
        <v>420</v>
      </c>
      <c r="J4" s="178" t="s">
        <v>535</v>
      </c>
      <c r="K4" s="171" t="s">
        <v>420</v>
      </c>
      <c r="L4" s="178" t="s">
        <v>535</v>
      </c>
    </row>
    <row r="5" spans="2:32" x14ac:dyDescent="0.2">
      <c r="B5" s="25">
        <v>0</v>
      </c>
      <c r="C5" s="27">
        <v>11318.771321890001</v>
      </c>
      <c r="D5" s="33">
        <v>0</v>
      </c>
      <c r="E5" s="27">
        <v>1018.58772234</v>
      </c>
      <c r="F5" s="33">
        <v>0</v>
      </c>
      <c r="G5" s="27">
        <v>1364.3352411799999</v>
      </c>
      <c r="H5" s="33">
        <v>0</v>
      </c>
      <c r="I5" s="27">
        <v>1488.9761213500001</v>
      </c>
      <c r="J5" s="33">
        <v>0</v>
      </c>
      <c r="K5" s="27">
        <v>349.95115910999999</v>
      </c>
      <c r="L5" s="33">
        <v>0</v>
      </c>
    </row>
    <row r="6" spans="2:32" x14ac:dyDescent="0.2">
      <c r="B6" s="25" t="s">
        <v>38</v>
      </c>
      <c r="C6" s="27">
        <v>17656.1411286</v>
      </c>
      <c r="D6" s="33">
        <v>85408.745476020005</v>
      </c>
      <c r="E6" s="27">
        <v>795.85359332999997</v>
      </c>
      <c r="F6" s="33">
        <v>4381.8473418800004</v>
      </c>
      <c r="G6" s="27">
        <v>708.84047912000005</v>
      </c>
      <c r="H6" s="33">
        <v>3770.2474860900002</v>
      </c>
      <c r="I6" s="27">
        <v>1413.1479752</v>
      </c>
      <c r="J6" s="33">
        <v>7659.0262724100003</v>
      </c>
      <c r="K6" s="27">
        <v>324.56439483000003</v>
      </c>
      <c r="L6" s="33">
        <v>1760.3789203599999</v>
      </c>
    </row>
    <row r="7" spans="2:32" x14ac:dyDescent="0.2">
      <c r="B7" s="25" t="s">
        <v>39</v>
      </c>
      <c r="C7" s="27">
        <v>12447.14403458</v>
      </c>
      <c r="D7" s="33">
        <v>188348.90159523999</v>
      </c>
      <c r="E7" s="27">
        <v>1273.93943436</v>
      </c>
      <c r="F7" s="33">
        <v>19697.345588209999</v>
      </c>
      <c r="G7" s="27">
        <v>1379.9611014100001</v>
      </c>
      <c r="H7" s="33">
        <v>21717.679320520001</v>
      </c>
      <c r="I7" s="27">
        <v>3135.0425689600002</v>
      </c>
      <c r="J7" s="33">
        <v>49821.103524910002</v>
      </c>
      <c r="K7" s="27">
        <v>557.24516928000003</v>
      </c>
      <c r="L7" s="33">
        <v>8679.6344415999993</v>
      </c>
    </row>
    <row r="8" spans="2:32" x14ac:dyDescent="0.2">
      <c r="B8" s="25" t="s">
        <v>40</v>
      </c>
      <c r="C8" s="27">
        <v>13076.126000849999</v>
      </c>
      <c r="D8" s="33">
        <v>326053.17714312999</v>
      </c>
      <c r="E8" s="27">
        <v>2116.4269058</v>
      </c>
      <c r="F8" s="33">
        <v>53787.66100452</v>
      </c>
      <c r="G8" s="27">
        <v>4990.1450965800004</v>
      </c>
      <c r="H8" s="33">
        <v>127645.51831584</v>
      </c>
      <c r="I8" s="27">
        <v>5949.0330726599996</v>
      </c>
      <c r="J8" s="33">
        <v>149419.51637860999</v>
      </c>
      <c r="K8" s="27">
        <v>905.05830648000006</v>
      </c>
      <c r="L8" s="33">
        <v>22809.02404398</v>
      </c>
    </row>
    <row r="9" spans="2:32" x14ac:dyDescent="0.2">
      <c r="B9" s="25" t="s">
        <v>41</v>
      </c>
      <c r="C9" s="27">
        <v>39250.596731220001</v>
      </c>
      <c r="D9" s="33">
        <v>1602534.39866403</v>
      </c>
      <c r="E9" s="27">
        <v>12849.07616624</v>
      </c>
      <c r="F9" s="33">
        <v>539282.04194875003</v>
      </c>
      <c r="G9" s="27">
        <v>10001.87012895</v>
      </c>
      <c r="H9" s="33">
        <v>393459.71092936001</v>
      </c>
      <c r="I9" s="27">
        <v>14377.63059142</v>
      </c>
      <c r="J9" s="33">
        <v>579821.90474470996</v>
      </c>
      <c r="K9" s="27">
        <v>2486.7634235099999</v>
      </c>
      <c r="L9" s="33">
        <v>100566.38734987999</v>
      </c>
    </row>
    <row r="10" spans="2:32" x14ac:dyDescent="0.2">
      <c r="B10" s="25" t="s">
        <v>42</v>
      </c>
      <c r="C10" s="27">
        <v>32496.69319192</v>
      </c>
      <c r="D10" s="33">
        <v>1953350.6964260901</v>
      </c>
      <c r="E10" s="27">
        <v>32455.145515920001</v>
      </c>
      <c r="F10" s="33">
        <v>2060626.6559404</v>
      </c>
      <c r="G10" s="27">
        <v>5840.6864386300003</v>
      </c>
      <c r="H10" s="33">
        <v>351944.20874426002</v>
      </c>
      <c r="I10" s="27">
        <v>13896.409428790001</v>
      </c>
      <c r="J10" s="33">
        <v>845712.63307099999</v>
      </c>
      <c r="K10" s="27">
        <v>2225.2272401199998</v>
      </c>
      <c r="L10" s="33">
        <v>135378.47285762001</v>
      </c>
    </row>
    <row r="11" spans="2:32" x14ac:dyDescent="0.2">
      <c r="B11" s="25" t="s">
        <v>43</v>
      </c>
      <c r="C11" s="27">
        <v>9149.8318818200005</v>
      </c>
      <c r="D11" s="33">
        <v>778142.04875736998</v>
      </c>
      <c r="E11" s="27">
        <v>35814.89087109</v>
      </c>
      <c r="F11" s="33">
        <v>3113638.80978321</v>
      </c>
      <c r="G11" s="27">
        <v>1931.47079629</v>
      </c>
      <c r="H11" s="33">
        <v>164543.75325688001</v>
      </c>
      <c r="I11" s="27">
        <v>5432.3182838000002</v>
      </c>
      <c r="J11" s="33">
        <v>464457.53806294</v>
      </c>
      <c r="K11" s="27">
        <v>817.63933108000003</v>
      </c>
      <c r="L11" s="33">
        <v>69896.100599729994</v>
      </c>
    </row>
    <row r="12" spans="2:32" x14ac:dyDescent="0.2">
      <c r="B12" s="25" t="s">
        <v>44</v>
      </c>
      <c r="C12" s="27">
        <v>3982.63494507</v>
      </c>
      <c r="D12" s="33">
        <v>464651.79728855001</v>
      </c>
      <c r="E12" s="27">
        <v>33981.338229339999</v>
      </c>
      <c r="F12" s="33">
        <v>4073120.5822820798</v>
      </c>
      <c r="G12" s="27">
        <v>1032.2460137800001</v>
      </c>
      <c r="H12" s="33">
        <v>121664.42325694</v>
      </c>
      <c r="I12" s="27">
        <v>2648.2558868000001</v>
      </c>
      <c r="J12" s="33">
        <v>311815.96181508998</v>
      </c>
      <c r="K12" s="27">
        <v>514.23468955999999</v>
      </c>
      <c r="L12" s="33">
        <v>60303.642247529999</v>
      </c>
    </row>
    <row r="13" spans="2:32" x14ac:dyDescent="0.2">
      <c r="B13" s="25" t="s">
        <v>45</v>
      </c>
      <c r="C13" s="27">
        <v>947.21863671999995</v>
      </c>
      <c r="D13" s="33">
        <v>172587.65223258999</v>
      </c>
      <c r="E13" s="27">
        <v>13164.78172372</v>
      </c>
      <c r="F13" s="33">
        <v>2411835.1549085001</v>
      </c>
      <c r="G13" s="27">
        <v>317.72146452999999</v>
      </c>
      <c r="H13" s="33">
        <v>58654.840002919998</v>
      </c>
      <c r="I13" s="27">
        <v>766.82994975999998</v>
      </c>
      <c r="J13" s="33">
        <v>142143.93244788999</v>
      </c>
      <c r="K13" s="27">
        <v>189.78368391999999</v>
      </c>
      <c r="L13" s="33">
        <v>35591.84450159</v>
      </c>
    </row>
    <row r="14" spans="2:32" x14ac:dyDescent="0.2">
      <c r="B14" s="25" t="s">
        <v>46</v>
      </c>
      <c r="C14" s="27">
        <v>246.05986621</v>
      </c>
      <c r="D14" s="33">
        <v>79912.289933790002</v>
      </c>
      <c r="E14" s="27">
        <v>3426.45414441</v>
      </c>
      <c r="F14" s="33">
        <v>1115846.97817353</v>
      </c>
      <c r="G14" s="27">
        <v>99.153512070000005</v>
      </c>
      <c r="H14" s="33">
        <v>31938.16010135</v>
      </c>
      <c r="I14" s="27">
        <v>251.59951218</v>
      </c>
      <c r="J14" s="33">
        <v>81723.659027689995</v>
      </c>
      <c r="K14" s="27">
        <v>59.553280299999997</v>
      </c>
      <c r="L14" s="33">
        <v>19852.643760710002</v>
      </c>
    </row>
    <row r="15" spans="2:32" x14ac:dyDescent="0.2">
      <c r="B15" s="25" t="s">
        <v>47</v>
      </c>
      <c r="C15" s="27">
        <v>43.269413960000001</v>
      </c>
      <c r="D15" s="33">
        <v>28498.41043607</v>
      </c>
      <c r="E15" s="27">
        <v>663.68679711000004</v>
      </c>
      <c r="F15" s="33">
        <v>429358.75108845998</v>
      </c>
      <c r="G15" s="27">
        <v>19.87341374</v>
      </c>
      <c r="H15" s="33">
        <v>12630.81820419</v>
      </c>
      <c r="I15" s="27">
        <v>41.2084276</v>
      </c>
      <c r="J15" s="33">
        <v>27402.35646101</v>
      </c>
      <c r="K15" s="27">
        <v>11.950076770000001</v>
      </c>
      <c r="L15" s="33">
        <v>8326.20846962</v>
      </c>
    </row>
    <row r="16" spans="2:32" x14ac:dyDescent="0.2">
      <c r="B16" s="95" t="s">
        <v>48</v>
      </c>
      <c r="C16" s="27">
        <v>12.29083868</v>
      </c>
      <c r="D16" s="33">
        <v>22734.348268940001</v>
      </c>
      <c r="E16" s="27">
        <v>179.34120494999999</v>
      </c>
      <c r="F16" s="33">
        <v>382986.40249405999</v>
      </c>
      <c r="G16" s="27">
        <v>5.16547424</v>
      </c>
      <c r="H16" s="33">
        <v>19098.181215420002</v>
      </c>
      <c r="I16" s="27">
        <v>16.047650860000001</v>
      </c>
      <c r="J16" s="33">
        <v>32233.019654110001</v>
      </c>
      <c r="K16" s="27">
        <v>6.5468147300000004</v>
      </c>
      <c r="L16" s="33">
        <v>24338.427115229999</v>
      </c>
    </row>
    <row r="17" spans="2:12" x14ac:dyDescent="0.2">
      <c r="B17" s="10" t="s">
        <v>0</v>
      </c>
      <c r="C17" s="90">
        <f>SUM(C5:C16)</f>
        <v>140626.77799151998</v>
      </c>
      <c r="D17" s="31">
        <f t="shared" ref="D17:L17" si="0">SUM(D5:D16)</f>
        <v>5702222.4662218196</v>
      </c>
      <c r="E17" s="90">
        <f t="shared" si="0"/>
        <v>137739.52230860997</v>
      </c>
      <c r="F17" s="31">
        <f t="shared" si="0"/>
        <v>14204562.230553599</v>
      </c>
      <c r="G17" s="90">
        <f t="shared" si="0"/>
        <v>27691.469160519999</v>
      </c>
      <c r="H17" s="31">
        <f t="shared" si="0"/>
        <v>1307067.5408337698</v>
      </c>
      <c r="I17" s="90">
        <f t="shared" si="0"/>
        <v>49416.499469379996</v>
      </c>
      <c r="J17" s="31">
        <f t="shared" si="0"/>
        <v>2692210.6514603696</v>
      </c>
      <c r="K17" s="90">
        <f t="shared" si="0"/>
        <v>8448.5175696900005</v>
      </c>
      <c r="L17" s="31">
        <f t="shared" si="0"/>
        <v>487502.76430784998</v>
      </c>
    </row>
    <row r="19" spans="2:12" x14ac:dyDescent="0.2">
      <c r="B19" s="300" t="s">
        <v>33</v>
      </c>
      <c r="C19" s="292"/>
      <c r="D19" s="292"/>
      <c r="E19" s="292"/>
      <c r="F19" s="292"/>
      <c r="G19" s="292"/>
      <c r="H19" s="292"/>
      <c r="I19" s="292"/>
      <c r="J19" s="292"/>
      <c r="K19" s="292"/>
      <c r="L19" s="292"/>
    </row>
  </sheetData>
  <mergeCells count="7">
    <mergeCell ref="B19:L19"/>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8"/>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3" width="3.42578125" style="76" customWidth="1"/>
    <col min="14" max="16384" width="11.42578125" style="76"/>
  </cols>
  <sheetData>
    <row r="1" spans="2:32" s="11" customFormat="1" ht="15.75" x14ac:dyDescent="0.2">
      <c r="B1" s="186" t="str">
        <f>Inhaltsverzeichnis!B36&amp;" "&amp;Inhaltsverzeichnis!C36&amp;" "&amp;Inhaltsverzeichnis!E36</f>
        <v>Tabelle  11b: Verteilung der Pflichtigen und des Reinvermögens nach Zivilstand und Stufen des Reinvermögens,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x14ac:dyDescent="0.2">
      <c r="B3" s="284" t="s">
        <v>537</v>
      </c>
      <c r="C3" s="287" t="s">
        <v>63</v>
      </c>
      <c r="D3" s="283"/>
      <c r="E3" s="282" t="s">
        <v>67</v>
      </c>
      <c r="F3" s="286"/>
      <c r="G3" s="282" t="s">
        <v>101</v>
      </c>
      <c r="H3" s="283"/>
      <c r="I3" s="282" t="s">
        <v>66</v>
      </c>
      <c r="J3" s="283"/>
      <c r="K3" s="282" t="s">
        <v>68</v>
      </c>
      <c r="L3" s="283"/>
    </row>
    <row r="4" spans="2:32" ht="25.5" x14ac:dyDescent="0.2">
      <c r="B4" s="285"/>
      <c r="C4" s="171" t="s">
        <v>420</v>
      </c>
      <c r="D4" s="180" t="s">
        <v>536</v>
      </c>
      <c r="E4" s="171" t="s">
        <v>420</v>
      </c>
      <c r="F4" s="180" t="s">
        <v>536</v>
      </c>
      <c r="G4" s="171" t="s">
        <v>420</v>
      </c>
      <c r="H4" s="180" t="s">
        <v>536</v>
      </c>
      <c r="I4" s="171" t="s">
        <v>420</v>
      </c>
      <c r="J4" s="180" t="s">
        <v>536</v>
      </c>
      <c r="K4" s="171" t="s">
        <v>420</v>
      </c>
      <c r="L4" s="180" t="s">
        <v>536</v>
      </c>
    </row>
    <row r="5" spans="2:32" x14ac:dyDescent="0.2">
      <c r="B5" s="25">
        <v>0</v>
      </c>
      <c r="C5" s="27">
        <v>28277.737979740999</v>
      </c>
      <c r="D5" s="33">
        <v>0</v>
      </c>
      <c r="E5" s="27">
        <v>29991.668754703998</v>
      </c>
      <c r="F5" s="33">
        <v>0</v>
      </c>
      <c r="G5" s="27">
        <v>1535.9872486849999</v>
      </c>
      <c r="H5" s="33">
        <v>0</v>
      </c>
      <c r="I5" s="27">
        <v>12780.650581862999</v>
      </c>
      <c r="J5" s="33">
        <v>0</v>
      </c>
      <c r="K5" s="27">
        <v>2752.3446554339998</v>
      </c>
      <c r="L5" s="33">
        <v>0</v>
      </c>
    </row>
    <row r="6" spans="2:32" x14ac:dyDescent="0.2">
      <c r="B6" s="25" t="s">
        <v>49</v>
      </c>
      <c r="C6" s="27">
        <v>56689.176124817001</v>
      </c>
      <c r="D6" s="33">
        <v>490905.94323614298</v>
      </c>
      <c r="E6" s="27">
        <v>15249.719503893</v>
      </c>
      <c r="F6" s="33">
        <v>145149.493925952</v>
      </c>
      <c r="G6" s="27">
        <v>3244.3170641669999</v>
      </c>
      <c r="H6" s="33">
        <v>28449.970854271</v>
      </c>
      <c r="I6" s="27">
        <v>12120.196501607999</v>
      </c>
      <c r="J6" s="33">
        <v>100835.881747059</v>
      </c>
      <c r="K6" s="27">
        <v>2229.128623261</v>
      </c>
      <c r="L6" s="33">
        <v>17009.698472268999</v>
      </c>
    </row>
    <row r="7" spans="2:32" x14ac:dyDescent="0.2">
      <c r="B7" s="25" t="s">
        <v>51</v>
      </c>
      <c r="C7" s="27">
        <v>16451.411764435001</v>
      </c>
      <c r="D7" s="33">
        <v>589342.79372676497</v>
      </c>
      <c r="E7" s="27">
        <v>7557.3746604870003</v>
      </c>
      <c r="F7" s="33">
        <v>279771.41902221303</v>
      </c>
      <c r="G7" s="27">
        <v>1561.8967296759999</v>
      </c>
      <c r="H7" s="33">
        <v>57684.353460355</v>
      </c>
      <c r="I7" s="27">
        <v>4165.6674488460003</v>
      </c>
      <c r="J7" s="33">
        <v>151883.92814629001</v>
      </c>
      <c r="K7" s="27">
        <v>611.06142859600004</v>
      </c>
      <c r="L7" s="33">
        <v>22063.399228826001</v>
      </c>
    </row>
    <row r="8" spans="2:32" x14ac:dyDescent="0.2">
      <c r="B8" s="25" t="s">
        <v>52</v>
      </c>
      <c r="C8" s="27">
        <v>14408.513929309</v>
      </c>
      <c r="D8" s="33">
        <v>1025740.3393401901</v>
      </c>
      <c r="E8" s="27">
        <v>11158.815061699999</v>
      </c>
      <c r="F8" s="33">
        <v>818299.08683869406</v>
      </c>
      <c r="G8" s="27">
        <v>2278.529831632</v>
      </c>
      <c r="H8" s="33">
        <v>168201.113442623</v>
      </c>
      <c r="I8" s="27">
        <v>5156.938936169</v>
      </c>
      <c r="J8" s="33">
        <v>375164.67411545798</v>
      </c>
      <c r="K8" s="27">
        <v>735.81330305300003</v>
      </c>
      <c r="L8" s="33">
        <v>52797.796646834002</v>
      </c>
    </row>
    <row r="9" spans="2:32" x14ac:dyDescent="0.2">
      <c r="B9" s="25" t="s">
        <v>53</v>
      </c>
      <c r="C9" s="27">
        <v>12335.451924276</v>
      </c>
      <c r="D9" s="33">
        <v>1953725.06235769</v>
      </c>
      <c r="E9" s="27">
        <v>21582.182758942999</v>
      </c>
      <c r="F9" s="33">
        <v>3623485.9018339301</v>
      </c>
      <c r="G9" s="27">
        <v>4543.2406905429998</v>
      </c>
      <c r="H9" s="33">
        <v>772582.15062304598</v>
      </c>
      <c r="I9" s="27">
        <v>6857.5436781159997</v>
      </c>
      <c r="J9" s="33">
        <v>1113716.87010004</v>
      </c>
      <c r="K9" s="27">
        <v>970.85872940499996</v>
      </c>
      <c r="L9" s="33">
        <v>156912.975633403</v>
      </c>
    </row>
    <row r="10" spans="2:32" x14ac:dyDescent="0.2">
      <c r="B10" s="25" t="s">
        <v>54</v>
      </c>
      <c r="C10" s="27">
        <v>6248.5952004649998</v>
      </c>
      <c r="D10" s="33">
        <v>2207441.3416839</v>
      </c>
      <c r="E10" s="27">
        <v>19393.254223143002</v>
      </c>
      <c r="F10" s="33">
        <v>7030130.3625407396</v>
      </c>
      <c r="G10" s="27">
        <v>5641.3027762969996</v>
      </c>
      <c r="H10" s="33">
        <v>2075615.8191156001</v>
      </c>
      <c r="I10" s="27">
        <v>4269.6318973400003</v>
      </c>
      <c r="J10" s="33">
        <v>1504221.51932701</v>
      </c>
      <c r="K10" s="27">
        <v>573.36080597</v>
      </c>
      <c r="L10" s="33">
        <v>200748.231074824</v>
      </c>
    </row>
    <row r="11" spans="2:32" x14ac:dyDescent="0.2">
      <c r="B11" s="25" t="s">
        <v>55</v>
      </c>
      <c r="C11" s="27">
        <v>2605.0992386439998</v>
      </c>
      <c r="D11" s="33">
        <v>1591006.10834749</v>
      </c>
      <c r="E11" s="27">
        <v>11195.909662178999</v>
      </c>
      <c r="F11" s="33">
        <v>6871814.6672774702</v>
      </c>
      <c r="G11" s="27">
        <v>3480.9940921329999</v>
      </c>
      <c r="H11" s="33">
        <v>2141166.7676016102</v>
      </c>
      <c r="I11" s="27">
        <v>1805.3875004209999</v>
      </c>
      <c r="J11" s="33">
        <v>1095732.9166616499</v>
      </c>
      <c r="K11" s="27">
        <v>222.31118211200001</v>
      </c>
      <c r="L11" s="33">
        <v>135415.46684166</v>
      </c>
    </row>
    <row r="12" spans="2:32" x14ac:dyDescent="0.2">
      <c r="B12" s="25" t="s">
        <v>56</v>
      </c>
      <c r="C12" s="27">
        <v>1311.881909917</v>
      </c>
      <c r="D12" s="33">
        <v>1125136.2099164601</v>
      </c>
      <c r="E12" s="27">
        <v>6706.548712494</v>
      </c>
      <c r="F12" s="33">
        <v>5796150.9573306199</v>
      </c>
      <c r="G12" s="27">
        <v>1933.913841411</v>
      </c>
      <c r="H12" s="33">
        <v>1664412.6584023701</v>
      </c>
      <c r="I12" s="27">
        <v>850.72696088400005</v>
      </c>
      <c r="J12" s="33">
        <v>730937.50102708396</v>
      </c>
      <c r="K12" s="27">
        <v>112.093291558</v>
      </c>
      <c r="L12" s="33">
        <v>96688.138021006002</v>
      </c>
    </row>
    <row r="13" spans="2:32" x14ac:dyDescent="0.2">
      <c r="B13" s="25" t="s">
        <v>57</v>
      </c>
      <c r="C13" s="27">
        <v>2176.1838971030002</v>
      </c>
      <c r="D13" s="33">
        <v>3713977.79467224</v>
      </c>
      <c r="E13" s="27">
        <v>13782.134699677001</v>
      </c>
      <c r="F13" s="33">
        <v>25150158.1717484</v>
      </c>
      <c r="G13" s="27">
        <v>3302.117347544</v>
      </c>
      <c r="H13" s="33">
        <v>5739848.4444342796</v>
      </c>
      <c r="I13" s="27">
        <v>1295.1439799540001</v>
      </c>
      <c r="J13" s="33">
        <v>2335857.6844866499</v>
      </c>
      <c r="K13" s="27">
        <v>206.23378222400001</v>
      </c>
      <c r="L13" s="33">
        <v>360543.20624129003</v>
      </c>
    </row>
    <row r="14" spans="2:32" x14ac:dyDescent="0.2">
      <c r="B14" s="25" t="s">
        <v>58</v>
      </c>
      <c r="C14" s="27">
        <v>89.423846072000003</v>
      </c>
      <c r="D14" s="33">
        <v>618887.87193448702</v>
      </c>
      <c r="E14" s="27">
        <v>765.66461046999996</v>
      </c>
      <c r="F14" s="33">
        <v>5100990.8330239002</v>
      </c>
      <c r="G14" s="27">
        <v>125.15306710999999</v>
      </c>
      <c r="H14" s="33">
        <v>871751.60041261604</v>
      </c>
      <c r="I14" s="27">
        <v>79.314806813999994</v>
      </c>
      <c r="J14" s="33">
        <v>535986.15735941601</v>
      </c>
      <c r="K14" s="27">
        <v>22.276851954000001</v>
      </c>
      <c r="L14" s="33">
        <v>138647.66886242401</v>
      </c>
    </row>
    <row r="15" spans="2:32" x14ac:dyDescent="0.2">
      <c r="B15" s="26" t="s">
        <v>50</v>
      </c>
      <c r="C15" s="27">
        <v>33.302176737000003</v>
      </c>
      <c r="D15" s="33">
        <v>749582.32692635094</v>
      </c>
      <c r="E15" s="27">
        <v>356.24966090300001</v>
      </c>
      <c r="F15" s="33">
        <v>8580394.0414667409</v>
      </c>
      <c r="G15" s="27">
        <v>44.016471307000003</v>
      </c>
      <c r="H15" s="33">
        <v>2849305.2926876699</v>
      </c>
      <c r="I15" s="27">
        <v>35.297177374999997</v>
      </c>
      <c r="J15" s="33">
        <v>639157.15388084599</v>
      </c>
      <c r="K15" s="27">
        <v>13.034916117</v>
      </c>
      <c r="L15" s="33">
        <v>391891.19225419097</v>
      </c>
    </row>
    <row r="16" spans="2:32" x14ac:dyDescent="0.2">
      <c r="B16" s="10" t="s">
        <v>0</v>
      </c>
      <c r="C16" s="90">
        <f t="shared" ref="C16:L16" si="0">SUM(C5:C15)</f>
        <v>140626.77799151599</v>
      </c>
      <c r="D16" s="31">
        <f t="shared" si="0"/>
        <v>14065745.792141713</v>
      </c>
      <c r="E16" s="90">
        <f t="shared" si="0"/>
        <v>137739.522308593</v>
      </c>
      <c r="F16" s="31">
        <f t="shared" si="0"/>
        <v>63396344.93500866</v>
      </c>
      <c r="G16" s="90">
        <f t="shared" si="0"/>
        <v>27691.469160505003</v>
      </c>
      <c r="H16" s="31">
        <f t="shared" si="0"/>
        <v>16369018.17103444</v>
      </c>
      <c r="I16" s="90">
        <f t="shared" si="0"/>
        <v>49416.499469390001</v>
      </c>
      <c r="J16" s="31">
        <f t="shared" si="0"/>
        <v>8583494.286851503</v>
      </c>
      <c r="K16" s="90">
        <f t="shared" si="0"/>
        <v>8448.5175696840015</v>
      </c>
      <c r="L16" s="31">
        <f t="shared" si="0"/>
        <v>1572717.7732767272</v>
      </c>
    </row>
    <row r="18" spans="2:12" x14ac:dyDescent="0.2">
      <c r="B18" s="300" t="s">
        <v>33</v>
      </c>
      <c r="C18" s="292"/>
      <c r="D18" s="292"/>
      <c r="E18" s="292"/>
      <c r="F18" s="292"/>
      <c r="G18" s="292"/>
      <c r="H18" s="292"/>
      <c r="I18" s="292"/>
      <c r="J18" s="292"/>
      <c r="K18" s="292"/>
      <c r="L18" s="292"/>
    </row>
  </sheetData>
  <mergeCells count="7">
    <mergeCell ref="B18:L18"/>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3" width="5.42578125" style="76" customWidth="1"/>
    <col min="14" max="16384" width="11.42578125" style="76"/>
  </cols>
  <sheetData>
    <row r="1" spans="2:32" s="11" customFormat="1" ht="15.75" x14ac:dyDescent="0.2">
      <c r="B1" s="186" t="str">
        <f>Inhaltsverzeichnis!B37&amp;" "&amp;Inhaltsverzeichnis!C37&amp;" "&amp;Inhaltsverzeichnis!E37</f>
        <v>Tabelle  12a: Verteilung der Pflichtigen und des Reineinkommens nach Altersklassen und Stufen des Reineinkommens,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x14ac:dyDescent="0.2">
      <c r="B3" s="284" t="s">
        <v>538</v>
      </c>
      <c r="C3" s="321" t="s">
        <v>88</v>
      </c>
      <c r="D3" s="283"/>
      <c r="E3" s="282" t="s">
        <v>89</v>
      </c>
      <c r="F3" s="286"/>
      <c r="G3" s="282" t="s">
        <v>90</v>
      </c>
      <c r="H3" s="283"/>
      <c r="I3" s="282" t="s">
        <v>91</v>
      </c>
      <c r="J3" s="283"/>
      <c r="K3" s="322" t="s">
        <v>92</v>
      </c>
      <c r="L3" s="283"/>
    </row>
    <row r="4" spans="2:32" ht="25.5" x14ac:dyDescent="0.2">
      <c r="B4" s="285"/>
      <c r="C4" s="171" t="s">
        <v>420</v>
      </c>
      <c r="D4" s="178" t="s">
        <v>535</v>
      </c>
      <c r="E4" s="171" t="s">
        <v>420</v>
      </c>
      <c r="F4" s="178" t="s">
        <v>535</v>
      </c>
      <c r="G4" s="171" t="s">
        <v>420</v>
      </c>
      <c r="H4" s="178" t="s">
        <v>535</v>
      </c>
      <c r="I4" s="171" t="s">
        <v>420</v>
      </c>
      <c r="J4" s="178" t="s">
        <v>535</v>
      </c>
      <c r="K4" s="171" t="s">
        <v>420</v>
      </c>
      <c r="L4" s="178" t="s">
        <v>535</v>
      </c>
    </row>
    <row r="5" spans="2:32" x14ac:dyDescent="0.2">
      <c r="B5" s="25">
        <v>0</v>
      </c>
      <c r="C5" s="27">
        <v>3732.0799096300002</v>
      </c>
      <c r="D5" s="33">
        <v>0</v>
      </c>
      <c r="E5" s="27">
        <v>5422.3623253599999</v>
      </c>
      <c r="F5" s="33">
        <v>0</v>
      </c>
      <c r="G5" s="27">
        <v>1882.3581377800001</v>
      </c>
      <c r="H5" s="33">
        <v>0</v>
      </c>
      <c r="I5" s="27">
        <v>2206.03859315</v>
      </c>
      <c r="J5" s="33">
        <v>0</v>
      </c>
      <c r="K5" s="27">
        <v>2297.7825999500001</v>
      </c>
      <c r="L5" s="33">
        <v>0</v>
      </c>
    </row>
    <row r="6" spans="2:32" x14ac:dyDescent="0.2">
      <c r="B6" s="25" t="s">
        <v>38</v>
      </c>
      <c r="C6" s="27">
        <v>6910.0767520700001</v>
      </c>
      <c r="D6" s="33">
        <v>31336.052113649999</v>
      </c>
      <c r="E6" s="27">
        <v>9420.3937436600008</v>
      </c>
      <c r="F6" s="33">
        <v>46851.253971910002</v>
      </c>
      <c r="G6" s="27">
        <v>1387.15878873</v>
      </c>
      <c r="H6" s="33">
        <v>7575.0254596599998</v>
      </c>
      <c r="I6" s="27">
        <v>1859.1005818399999</v>
      </c>
      <c r="J6" s="33">
        <v>9915.6613050199994</v>
      </c>
      <c r="K6" s="27">
        <v>1321.81770478</v>
      </c>
      <c r="L6" s="33">
        <v>7302.25264651</v>
      </c>
    </row>
    <row r="7" spans="2:32" x14ac:dyDescent="0.2">
      <c r="B7" s="25" t="s">
        <v>39</v>
      </c>
      <c r="C7" s="27">
        <v>1475.51709074</v>
      </c>
      <c r="D7" s="33">
        <v>21118.977029969999</v>
      </c>
      <c r="E7" s="27">
        <v>8135.9865550699997</v>
      </c>
      <c r="F7" s="33">
        <v>123243.55353297001</v>
      </c>
      <c r="G7" s="27">
        <v>2547.7595404899998</v>
      </c>
      <c r="H7" s="33">
        <v>39422.136175719999</v>
      </c>
      <c r="I7" s="27">
        <v>3131.1234812500002</v>
      </c>
      <c r="J7" s="33">
        <v>48154.201874459999</v>
      </c>
      <c r="K7" s="27">
        <v>3502.9456410399998</v>
      </c>
      <c r="L7" s="33">
        <v>56325.795857340003</v>
      </c>
    </row>
    <row r="8" spans="2:32" x14ac:dyDescent="0.2">
      <c r="B8" s="25" t="s">
        <v>40</v>
      </c>
      <c r="C8" s="27">
        <v>797.13446671999998</v>
      </c>
      <c r="D8" s="33">
        <v>18723.92455114</v>
      </c>
      <c r="E8" s="27">
        <v>8960.1177369199995</v>
      </c>
      <c r="F8" s="33">
        <v>224441.71880393001</v>
      </c>
      <c r="G8" s="27">
        <v>3472.46317404</v>
      </c>
      <c r="H8" s="33">
        <v>87783.174311730007</v>
      </c>
      <c r="I8" s="27">
        <v>4378.6069679299999</v>
      </c>
      <c r="J8" s="33">
        <v>110451.28718241</v>
      </c>
      <c r="K8" s="27">
        <v>9428.4670367599992</v>
      </c>
      <c r="L8" s="33">
        <v>238314.79203690999</v>
      </c>
    </row>
    <row r="9" spans="2:32" x14ac:dyDescent="0.2">
      <c r="B9" s="25" t="s">
        <v>41</v>
      </c>
      <c r="C9" s="27">
        <v>251.02903193</v>
      </c>
      <c r="D9" s="33">
        <v>9652.8992068499992</v>
      </c>
      <c r="E9" s="27">
        <v>29775.845237410002</v>
      </c>
      <c r="F9" s="33">
        <v>1216289.32507037</v>
      </c>
      <c r="G9" s="27">
        <v>13855.00854812</v>
      </c>
      <c r="H9" s="33">
        <v>571991.37645711994</v>
      </c>
      <c r="I9" s="27">
        <v>14001.732813770001</v>
      </c>
      <c r="J9" s="33">
        <v>573467.97647057998</v>
      </c>
      <c r="K9" s="27">
        <v>21082.321410119999</v>
      </c>
      <c r="L9" s="33">
        <v>844262.86643188004</v>
      </c>
    </row>
    <row r="10" spans="2:32" x14ac:dyDescent="0.2">
      <c r="B10" s="25" t="s">
        <v>42</v>
      </c>
      <c r="C10" s="27">
        <v>13.864279229999999</v>
      </c>
      <c r="D10" s="33">
        <v>772.75833169999999</v>
      </c>
      <c r="E10" s="27">
        <v>21747.13249077</v>
      </c>
      <c r="F10" s="33">
        <v>1302489.8474087301</v>
      </c>
      <c r="G10" s="27">
        <v>23927.91189336</v>
      </c>
      <c r="H10" s="33">
        <v>1489979.4856577399</v>
      </c>
      <c r="I10" s="27">
        <v>21771.349354459999</v>
      </c>
      <c r="J10" s="33">
        <v>1353831.4297251001</v>
      </c>
      <c r="K10" s="27">
        <v>19453.90379756</v>
      </c>
      <c r="L10" s="33">
        <v>1199939.14591641</v>
      </c>
    </row>
    <row r="11" spans="2:32" x14ac:dyDescent="0.2">
      <c r="B11" s="25" t="s">
        <v>43</v>
      </c>
      <c r="C11" s="27">
        <v>1</v>
      </c>
      <c r="D11" s="33">
        <v>83.706999999999994</v>
      </c>
      <c r="E11" s="27">
        <v>6828.8346061800003</v>
      </c>
      <c r="F11" s="33">
        <v>583976.63155795995</v>
      </c>
      <c r="G11" s="27">
        <v>18821.78699692</v>
      </c>
      <c r="H11" s="33">
        <v>1632812.0363483501</v>
      </c>
      <c r="I11" s="27">
        <v>17181.29550846</v>
      </c>
      <c r="J11" s="33">
        <v>1489225.7482888401</v>
      </c>
      <c r="K11" s="27">
        <v>10313.234052510001</v>
      </c>
      <c r="L11" s="33">
        <v>884580.12726455997</v>
      </c>
    </row>
    <row r="12" spans="2:32" x14ac:dyDescent="0.2">
      <c r="B12" s="25" t="s">
        <v>44</v>
      </c>
      <c r="C12" s="27">
        <v>0</v>
      </c>
      <c r="D12" s="27">
        <v>0</v>
      </c>
      <c r="E12" s="27">
        <v>3253.42232272</v>
      </c>
      <c r="F12" s="33">
        <v>379853.23970296001</v>
      </c>
      <c r="G12" s="27">
        <v>16262.533160229999</v>
      </c>
      <c r="H12" s="33">
        <v>1941932.69365671</v>
      </c>
      <c r="I12" s="27">
        <v>16032.22495093</v>
      </c>
      <c r="J12" s="33">
        <v>1924233.6049655499</v>
      </c>
      <c r="K12" s="27">
        <v>6610.5293306499998</v>
      </c>
      <c r="L12" s="33">
        <v>785536.86856474995</v>
      </c>
    </row>
    <row r="13" spans="2:32" x14ac:dyDescent="0.2">
      <c r="B13" s="25" t="s">
        <v>45</v>
      </c>
      <c r="C13" s="27">
        <v>1.375</v>
      </c>
      <c r="D13" s="33">
        <v>269.44637499999999</v>
      </c>
      <c r="E13" s="27">
        <v>557.73501768000006</v>
      </c>
      <c r="F13" s="33">
        <v>99658.420624100007</v>
      </c>
      <c r="G13" s="27">
        <v>5946.4203765399998</v>
      </c>
      <c r="H13" s="33">
        <v>1086840.68819169</v>
      </c>
      <c r="I13" s="27">
        <v>6637.4726460000002</v>
      </c>
      <c r="J13" s="33">
        <v>1222709.95605426</v>
      </c>
      <c r="K13" s="27">
        <v>2243.33241843</v>
      </c>
      <c r="L13" s="33">
        <v>411334.91284835001</v>
      </c>
    </row>
    <row r="14" spans="2:32" x14ac:dyDescent="0.2">
      <c r="B14" s="25" t="s">
        <v>46</v>
      </c>
      <c r="C14" s="27">
        <v>0</v>
      </c>
      <c r="D14" s="27">
        <v>0</v>
      </c>
      <c r="E14" s="27">
        <v>67.152535520000001</v>
      </c>
      <c r="F14" s="33">
        <v>21072.0498988</v>
      </c>
      <c r="G14" s="27">
        <v>1372.7466411600001</v>
      </c>
      <c r="H14" s="33">
        <v>443123.87173054001</v>
      </c>
      <c r="I14" s="27">
        <v>1979.2946275899999</v>
      </c>
      <c r="J14" s="33">
        <v>647025.45590635005</v>
      </c>
      <c r="K14" s="27">
        <v>663.62651088999996</v>
      </c>
      <c r="L14" s="33">
        <v>218052.35346139999</v>
      </c>
    </row>
    <row r="15" spans="2:32" x14ac:dyDescent="0.2">
      <c r="B15" s="25" t="s">
        <v>47</v>
      </c>
      <c r="C15" s="27">
        <v>0</v>
      </c>
      <c r="D15" s="27">
        <v>0</v>
      </c>
      <c r="E15" s="27">
        <v>7.5</v>
      </c>
      <c r="F15" s="33">
        <v>4296.2646000000004</v>
      </c>
      <c r="G15" s="27">
        <v>223.45253815999999</v>
      </c>
      <c r="H15" s="33">
        <v>145954.96039205001</v>
      </c>
      <c r="I15" s="27">
        <v>375.56157134</v>
      </c>
      <c r="J15" s="33">
        <v>241387.45723663</v>
      </c>
      <c r="K15" s="27">
        <v>173.47401968</v>
      </c>
      <c r="L15" s="33">
        <v>114577.86243065</v>
      </c>
    </row>
    <row r="16" spans="2:32" x14ac:dyDescent="0.2">
      <c r="B16" s="95" t="s">
        <v>48</v>
      </c>
      <c r="C16" s="27">
        <v>0</v>
      </c>
      <c r="D16" s="27">
        <v>0</v>
      </c>
      <c r="E16" s="27">
        <v>4.3666666699999999</v>
      </c>
      <c r="F16" s="33">
        <v>9410.0758666700003</v>
      </c>
      <c r="G16" s="27">
        <v>49.682943700000003</v>
      </c>
      <c r="H16" s="33">
        <v>104535.9779212</v>
      </c>
      <c r="I16" s="27">
        <v>112.42688316</v>
      </c>
      <c r="J16" s="33">
        <v>247591.28800681999</v>
      </c>
      <c r="K16" s="27">
        <v>52.91548993</v>
      </c>
      <c r="L16" s="33">
        <v>119853.03695307999</v>
      </c>
    </row>
    <row r="17" spans="2:12" x14ac:dyDescent="0.2">
      <c r="B17" s="10" t="s">
        <v>0</v>
      </c>
      <c r="C17" s="90">
        <f>SUM(C5:C16)</f>
        <v>13182.076530320001</v>
      </c>
      <c r="D17" s="31">
        <f t="shared" ref="D17:L17" si="0">SUM(D5:D16)</f>
        <v>81957.764608309983</v>
      </c>
      <c r="E17" s="90">
        <f t="shared" si="0"/>
        <v>94180.849237959992</v>
      </c>
      <c r="F17" s="31">
        <f t="shared" si="0"/>
        <v>4011582.3810383999</v>
      </c>
      <c r="G17" s="90">
        <f t="shared" si="0"/>
        <v>89749.282739229995</v>
      </c>
      <c r="H17" s="31">
        <f t="shared" si="0"/>
        <v>7551951.4263025103</v>
      </c>
      <c r="I17" s="90">
        <f t="shared" si="0"/>
        <v>89666.227979880001</v>
      </c>
      <c r="J17" s="31">
        <f t="shared" si="0"/>
        <v>7867994.0670160204</v>
      </c>
      <c r="K17" s="90">
        <f t="shared" si="0"/>
        <v>77144.350012299983</v>
      </c>
      <c r="L17" s="31">
        <f t="shared" si="0"/>
        <v>4880080.0144118397</v>
      </c>
    </row>
    <row r="19" spans="2:12" x14ac:dyDescent="0.2">
      <c r="B19" s="300" t="s">
        <v>33</v>
      </c>
      <c r="C19" s="292"/>
      <c r="D19" s="292"/>
      <c r="E19" s="292"/>
      <c r="F19" s="292"/>
      <c r="G19" s="292"/>
      <c r="H19" s="292"/>
      <c r="I19" s="292"/>
      <c r="J19" s="292"/>
      <c r="K19" s="292"/>
      <c r="L19" s="292"/>
    </row>
  </sheetData>
  <mergeCells count="7">
    <mergeCell ref="B19:L19"/>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8"/>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3" width="4.28515625" style="76" customWidth="1"/>
    <col min="14" max="16384" width="11.42578125" style="76"/>
  </cols>
  <sheetData>
    <row r="1" spans="2:32" s="11" customFormat="1" ht="15.75" x14ac:dyDescent="0.2">
      <c r="B1" s="186" t="str">
        <f>Inhaltsverzeichnis!B38&amp;" "&amp;Inhaltsverzeichnis!C38&amp;" "&amp;Inhaltsverzeichnis!E38</f>
        <v>Tabelle  12b: Verteilung der Pflichtigen und des Reinvermögens nach Altersklassen und Stufen des Reinvermögens,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x14ac:dyDescent="0.2">
      <c r="B3" s="284" t="s">
        <v>537</v>
      </c>
      <c r="C3" s="321" t="s">
        <v>88</v>
      </c>
      <c r="D3" s="283"/>
      <c r="E3" s="282" t="s">
        <v>89</v>
      </c>
      <c r="F3" s="286"/>
      <c r="G3" s="282" t="s">
        <v>90</v>
      </c>
      <c r="H3" s="283"/>
      <c r="I3" s="282" t="s">
        <v>91</v>
      </c>
      <c r="J3" s="283"/>
      <c r="K3" s="322" t="s">
        <v>92</v>
      </c>
      <c r="L3" s="283"/>
    </row>
    <row r="4" spans="2:32" ht="25.5" x14ac:dyDescent="0.2">
      <c r="B4" s="285"/>
      <c r="C4" s="171" t="s">
        <v>420</v>
      </c>
      <c r="D4" s="180" t="s">
        <v>536</v>
      </c>
      <c r="E4" s="171" t="s">
        <v>420</v>
      </c>
      <c r="F4" s="180" t="s">
        <v>536</v>
      </c>
      <c r="G4" s="171" t="s">
        <v>420</v>
      </c>
      <c r="H4" s="180" t="s">
        <v>536</v>
      </c>
      <c r="I4" s="171" t="s">
        <v>420</v>
      </c>
      <c r="J4" s="180" t="s">
        <v>536</v>
      </c>
      <c r="K4" s="171" t="s">
        <v>420</v>
      </c>
      <c r="L4" s="180" t="s">
        <v>536</v>
      </c>
    </row>
    <row r="5" spans="2:32" x14ac:dyDescent="0.2">
      <c r="B5" s="25">
        <v>0</v>
      </c>
      <c r="C5" s="27">
        <v>3074.9108442267002</v>
      </c>
      <c r="D5" s="33">
        <v>0</v>
      </c>
      <c r="E5" s="27">
        <v>22303.2488078688</v>
      </c>
      <c r="F5" s="33">
        <v>0</v>
      </c>
      <c r="G5" s="27">
        <v>27893.326809304799</v>
      </c>
      <c r="H5" s="33">
        <v>0</v>
      </c>
      <c r="I5" s="27">
        <v>18720.421123662702</v>
      </c>
      <c r="J5" s="33">
        <v>0</v>
      </c>
      <c r="K5" s="27">
        <v>3346.4816353679998</v>
      </c>
      <c r="L5" s="33">
        <v>0</v>
      </c>
    </row>
    <row r="6" spans="2:32" x14ac:dyDescent="0.2">
      <c r="B6" s="25" t="s">
        <v>49</v>
      </c>
      <c r="C6" s="27">
        <v>8752.1042227294001</v>
      </c>
      <c r="D6" s="33">
        <v>61938.818148209102</v>
      </c>
      <c r="E6" s="27">
        <v>42337.2218003616</v>
      </c>
      <c r="F6" s="33">
        <v>371189.45758417499</v>
      </c>
      <c r="G6" s="27">
        <v>18382.222150099999</v>
      </c>
      <c r="H6" s="33">
        <v>169716.48672293901</v>
      </c>
      <c r="I6" s="27">
        <v>12996.7437064757</v>
      </c>
      <c r="J6" s="33">
        <v>117298.105712406</v>
      </c>
      <c r="K6" s="27">
        <v>7064.2459380716</v>
      </c>
      <c r="L6" s="33">
        <v>62208.120067905103</v>
      </c>
    </row>
    <row r="7" spans="2:32" x14ac:dyDescent="0.2">
      <c r="B7" s="25" t="s">
        <v>51</v>
      </c>
      <c r="C7" s="27">
        <v>995.25349003669999</v>
      </c>
      <c r="D7" s="33">
        <v>33695.491716471399</v>
      </c>
      <c r="E7" s="27">
        <v>12431.9788809485</v>
      </c>
      <c r="F7" s="33">
        <v>444811.70603577502</v>
      </c>
      <c r="G7" s="27">
        <v>7556.1311377729999</v>
      </c>
      <c r="H7" s="33">
        <v>276152.12066109601</v>
      </c>
      <c r="I7" s="27">
        <v>5913.0885034375997</v>
      </c>
      <c r="J7" s="33">
        <v>218479.09850745701</v>
      </c>
      <c r="K7" s="27">
        <v>3450.9600198425001</v>
      </c>
      <c r="L7" s="33">
        <v>127607.476663604</v>
      </c>
    </row>
    <row r="8" spans="2:32" x14ac:dyDescent="0.2">
      <c r="B8" s="25" t="s">
        <v>52</v>
      </c>
      <c r="C8" s="27">
        <v>268.23464563160002</v>
      </c>
      <c r="D8" s="33">
        <v>17454.402907234398</v>
      </c>
      <c r="E8" s="27">
        <v>9649.8494670341006</v>
      </c>
      <c r="F8" s="33">
        <v>678906.049312321</v>
      </c>
      <c r="G8" s="27">
        <v>9475.8953501957003</v>
      </c>
      <c r="H8" s="33">
        <v>688723.42193175701</v>
      </c>
      <c r="I8" s="27">
        <v>8912.0151966338999</v>
      </c>
      <c r="J8" s="33">
        <v>654369.08633741504</v>
      </c>
      <c r="K8" s="27">
        <v>5432.6164023691999</v>
      </c>
      <c r="L8" s="33">
        <v>400750.04989512498</v>
      </c>
    </row>
    <row r="9" spans="2:32" x14ac:dyDescent="0.2">
      <c r="B9" s="25" t="s">
        <v>53</v>
      </c>
      <c r="C9" s="27">
        <v>68.919105041400002</v>
      </c>
      <c r="D9" s="33">
        <v>9732.7995410404001</v>
      </c>
      <c r="E9" s="27">
        <v>5643.0098626201998</v>
      </c>
      <c r="F9" s="33">
        <v>851395.65473504504</v>
      </c>
      <c r="G9" s="27">
        <v>13023.489070781199</v>
      </c>
      <c r="H9" s="33">
        <v>2114006.3487675702</v>
      </c>
      <c r="I9" s="27">
        <v>15288.0604393084</v>
      </c>
      <c r="J9" s="33">
        <v>2542490.93412206</v>
      </c>
      <c r="K9" s="27">
        <v>12265.799303531399</v>
      </c>
      <c r="L9" s="33">
        <v>2102797.2233824199</v>
      </c>
    </row>
    <row r="10" spans="2:32" x14ac:dyDescent="0.2">
      <c r="B10" s="25" t="s">
        <v>54</v>
      </c>
      <c r="C10" s="27">
        <v>16.222404468099999</v>
      </c>
      <c r="D10" s="33">
        <v>5909.4647750549002</v>
      </c>
      <c r="E10" s="27">
        <v>1239.1777266032</v>
      </c>
      <c r="F10" s="33">
        <v>416145.27113295102</v>
      </c>
      <c r="G10" s="27">
        <v>7484.2123364363997</v>
      </c>
      <c r="H10" s="33">
        <v>2623237.0076886001</v>
      </c>
      <c r="I10" s="27">
        <v>12109.6163611638</v>
      </c>
      <c r="J10" s="33">
        <v>4339063.2276421702</v>
      </c>
      <c r="K10" s="27">
        <v>15276.916074544401</v>
      </c>
      <c r="L10" s="33">
        <v>5633802.3025036203</v>
      </c>
    </row>
    <row r="11" spans="2:32" x14ac:dyDescent="0.2">
      <c r="B11" s="25" t="s">
        <v>55</v>
      </c>
      <c r="C11" s="27">
        <v>2.2083333333000001</v>
      </c>
      <c r="D11" s="33">
        <v>1336.8093333332999</v>
      </c>
      <c r="E11" s="27">
        <v>270.25377526720001</v>
      </c>
      <c r="F11" s="33">
        <v>164768.70315171001</v>
      </c>
      <c r="G11" s="27">
        <v>2721.4604174485999</v>
      </c>
      <c r="H11" s="33">
        <v>1648841.84685511</v>
      </c>
      <c r="I11" s="27">
        <v>5935.8233902478996</v>
      </c>
      <c r="J11" s="33">
        <v>3625069.7804057798</v>
      </c>
      <c r="K11" s="27">
        <v>10379.9557591922</v>
      </c>
      <c r="L11" s="33">
        <v>6395118.7869843002</v>
      </c>
    </row>
    <row r="12" spans="2:32" x14ac:dyDescent="0.2">
      <c r="B12" s="25" t="s">
        <v>56</v>
      </c>
      <c r="C12" s="27">
        <v>1.0416666667000001</v>
      </c>
      <c r="D12" s="33">
        <v>801.64583333329995</v>
      </c>
      <c r="E12" s="27">
        <v>97.127020653499997</v>
      </c>
      <c r="F12" s="33">
        <v>82894.320165479599</v>
      </c>
      <c r="G12" s="27">
        <v>1192.1720502976</v>
      </c>
      <c r="H12" s="33">
        <v>1022837.70018957</v>
      </c>
      <c r="I12" s="27">
        <v>3201.7900333165999</v>
      </c>
      <c r="J12" s="33">
        <v>2763533.3266154099</v>
      </c>
      <c r="K12" s="27">
        <v>6423.0339453281003</v>
      </c>
      <c r="L12" s="33">
        <v>5543258.4718934996</v>
      </c>
    </row>
    <row r="13" spans="2:32" x14ac:dyDescent="0.2">
      <c r="B13" s="25" t="s">
        <v>57</v>
      </c>
      <c r="C13" s="27">
        <v>3.1818181818000002</v>
      </c>
      <c r="D13" s="33">
        <v>7305.9593636363998</v>
      </c>
      <c r="E13" s="27">
        <v>187.0237436299</v>
      </c>
      <c r="F13" s="33">
        <v>341192.93325953698</v>
      </c>
      <c r="G13" s="27">
        <v>1848.1737114744999</v>
      </c>
      <c r="H13" s="33">
        <v>3162612.1866194899</v>
      </c>
      <c r="I13" s="27">
        <v>6030.1257918870997</v>
      </c>
      <c r="J13" s="33">
        <v>10871423.1874674</v>
      </c>
      <c r="K13" s="27">
        <v>12693.3086413293</v>
      </c>
      <c r="L13" s="33">
        <v>22917851.0348728</v>
      </c>
    </row>
    <row r="14" spans="2:32" x14ac:dyDescent="0.2">
      <c r="B14" s="25" t="s">
        <v>58</v>
      </c>
      <c r="C14" s="27">
        <v>0</v>
      </c>
      <c r="D14" s="27">
        <v>0</v>
      </c>
      <c r="E14" s="27">
        <v>14.4702741703</v>
      </c>
      <c r="F14" s="33">
        <v>105068.887903319</v>
      </c>
      <c r="G14" s="27">
        <v>122.4680343971</v>
      </c>
      <c r="H14" s="33">
        <v>823307.20015979698</v>
      </c>
      <c r="I14" s="27">
        <v>384.2722004808</v>
      </c>
      <c r="J14" s="33">
        <v>2555952.7177939299</v>
      </c>
      <c r="K14" s="27">
        <v>560.6226733725</v>
      </c>
      <c r="L14" s="33">
        <v>3781935.3257357902</v>
      </c>
    </row>
    <row r="15" spans="2:32" x14ac:dyDescent="0.2">
      <c r="B15" s="26" t="s">
        <v>50</v>
      </c>
      <c r="C15" s="27">
        <v>0</v>
      </c>
      <c r="D15" s="27">
        <v>0</v>
      </c>
      <c r="E15" s="27">
        <v>7.4878787878999997</v>
      </c>
      <c r="F15" s="33">
        <v>254146.44360909099</v>
      </c>
      <c r="G15" s="27">
        <v>49.731671043799999</v>
      </c>
      <c r="H15" s="33">
        <v>1590016.44572898</v>
      </c>
      <c r="I15" s="27">
        <v>174.27123327909999</v>
      </c>
      <c r="J15" s="33">
        <v>3573788.4973909999</v>
      </c>
      <c r="K15" s="27">
        <v>250.4096193291</v>
      </c>
      <c r="L15" s="33">
        <v>7792378.6204867698</v>
      </c>
    </row>
    <row r="16" spans="2:32" x14ac:dyDescent="0.2">
      <c r="B16" s="10" t="s">
        <v>0</v>
      </c>
      <c r="C16" s="90">
        <f t="shared" ref="C16:L16" si="0">SUM(C5:C15)</f>
        <v>13182.0765303157</v>
      </c>
      <c r="D16" s="31">
        <f t="shared" si="0"/>
        <v>138175.39161831318</v>
      </c>
      <c r="E16" s="90">
        <f t="shared" si="0"/>
        <v>94180.849237945207</v>
      </c>
      <c r="F16" s="31">
        <f t="shared" si="0"/>
        <v>3710519.4268894037</v>
      </c>
      <c r="G16" s="90">
        <f t="shared" si="0"/>
        <v>89749.282739252696</v>
      </c>
      <c r="H16" s="31">
        <f t="shared" si="0"/>
        <v>14119450.765324909</v>
      </c>
      <c r="I16" s="90">
        <f t="shared" si="0"/>
        <v>89666.227979893592</v>
      </c>
      <c r="J16" s="31">
        <f t="shared" si="0"/>
        <v>31261467.961995028</v>
      </c>
      <c r="K16" s="90">
        <f t="shared" si="0"/>
        <v>77144.350012278301</v>
      </c>
      <c r="L16" s="31">
        <f t="shared" si="0"/>
        <v>54757707.412485838</v>
      </c>
    </row>
    <row r="18" spans="2:12" x14ac:dyDescent="0.2">
      <c r="B18" s="300" t="s">
        <v>33</v>
      </c>
      <c r="C18" s="292"/>
      <c r="D18" s="292"/>
      <c r="E18" s="292"/>
      <c r="F18" s="292"/>
      <c r="G18" s="292"/>
      <c r="H18" s="292"/>
      <c r="I18" s="292"/>
      <c r="J18" s="292"/>
      <c r="K18" s="292"/>
      <c r="L18" s="292"/>
    </row>
  </sheetData>
  <mergeCells count="7">
    <mergeCell ref="B18:L18"/>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21"/>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3" width="4.140625" style="76" customWidth="1"/>
    <col min="14" max="16384" width="11.42578125" style="76"/>
  </cols>
  <sheetData>
    <row r="1" spans="2:32" s="11" customFormat="1" ht="15.75" x14ac:dyDescent="0.2">
      <c r="B1" s="186" t="str">
        <f>Inhaltsverzeichnis!B39&amp;" "&amp;Inhaltsverzeichnis!C39&amp;" "&amp;Inhaltsverzeichnis!E39</f>
        <v>Tabelle  13a: Verteilung der Pflichtigen und des Reineinkommens nach Erwerbsart und Stufen des Reineinkommens,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538</v>
      </c>
      <c r="C3" s="323" t="s">
        <v>104</v>
      </c>
      <c r="D3" s="323"/>
      <c r="E3" s="323" t="s">
        <v>105</v>
      </c>
      <c r="F3" s="323"/>
      <c r="G3" s="324" t="s">
        <v>550</v>
      </c>
      <c r="H3" s="325"/>
      <c r="I3" s="324" t="s">
        <v>568</v>
      </c>
      <c r="J3" s="325"/>
      <c r="K3" s="307" t="s">
        <v>12</v>
      </c>
      <c r="L3" s="307"/>
    </row>
    <row r="4" spans="2:32" ht="25.5" x14ac:dyDescent="0.2">
      <c r="B4" s="285"/>
      <c r="C4" s="171" t="s">
        <v>420</v>
      </c>
      <c r="D4" s="178" t="s">
        <v>535</v>
      </c>
      <c r="E4" s="171" t="s">
        <v>420</v>
      </c>
      <c r="F4" s="178" t="s">
        <v>535</v>
      </c>
      <c r="G4" s="171" t="s">
        <v>420</v>
      </c>
      <c r="H4" s="178" t="s">
        <v>535</v>
      </c>
      <c r="I4" s="171" t="s">
        <v>420</v>
      </c>
      <c r="J4" s="178" t="s">
        <v>535</v>
      </c>
      <c r="K4" s="171" t="s">
        <v>420</v>
      </c>
      <c r="L4" s="178" t="s">
        <v>535</v>
      </c>
    </row>
    <row r="5" spans="2:32" x14ac:dyDescent="0.2">
      <c r="B5" s="25">
        <v>0</v>
      </c>
      <c r="C5" s="27">
        <v>155.83650781</v>
      </c>
      <c r="D5" s="33">
        <v>0</v>
      </c>
      <c r="E5" s="27">
        <v>4530.8769227000003</v>
      </c>
      <c r="F5" s="33">
        <v>0</v>
      </c>
      <c r="G5" s="27">
        <v>3567.5039943000002</v>
      </c>
      <c r="H5" s="33">
        <v>0</v>
      </c>
      <c r="I5" s="27">
        <v>285.20345635000001</v>
      </c>
      <c r="J5" s="33">
        <v>0</v>
      </c>
      <c r="K5" s="27">
        <v>7001.2006846900003</v>
      </c>
      <c r="L5" s="33">
        <v>0</v>
      </c>
    </row>
    <row r="6" spans="2:32" x14ac:dyDescent="0.2">
      <c r="B6" s="25" t="s">
        <v>38</v>
      </c>
      <c r="C6" s="27">
        <v>428.82726659999997</v>
      </c>
      <c r="D6" s="33">
        <v>2292.1357402200001</v>
      </c>
      <c r="E6" s="27">
        <v>16293.45015047</v>
      </c>
      <c r="F6" s="33">
        <v>77892.195468399994</v>
      </c>
      <c r="G6" s="27">
        <v>3032.6160411000001</v>
      </c>
      <c r="H6" s="33">
        <v>17115.089754640001</v>
      </c>
      <c r="I6" s="27">
        <v>476.91158260999998</v>
      </c>
      <c r="J6" s="33">
        <v>2607.1481837000001</v>
      </c>
      <c r="K6" s="27">
        <v>666.74253031000001</v>
      </c>
      <c r="L6" s="33">
        <v>3073.6763498</v>
      </c>
    </row>
    <row r="7" spans="2:32" x14ac:dyDescent="0.2">
      <c r="B7" s="25" t="s">
        <v>39</v>
      </c>
      <c r="C7" s="27">
        <v>653.6008415</v>
      </c>
      <c r="D7" s="33">
        <v>10097.107225379999</v>
      </c>
      <c r="E7" s="27">
        <v>10003.114974030001</v>
      </c>
      <c r="F7" s="33">
        <v>150697.57141104</v>
      </c>
      <c r="G7" s="27">
        <v>6795.1497653200004</v>
      </c>
      <c r="H7" s="33">
        <v>106885.54559485</v>
      </c>
      <c r="I7" s="27">
        <v>966.45807733000004</v>
      </c>
      <c r="J7" s="33">
        <v>15149.53511773</v>
      </c>
      <c r="K7" s="27">
        <v>375.00865040000002</v>
      </c>
      <c r="L7" s="33">
        <v>5434.9051214700003</v>
      </c>
    </row>
    <row r="8" spans="2:32" x14ac:dyDescent="0.2">
      <c r="B8" s="25" t="s">
        <v>40</v>
      </c>
      <c r="C8" s="27">
        <v>1026.26597294</v>
      </c>
      <c r="D8" s="33">
        <v>25870.744387729999</v>
      </c>
      <c r="E8" s="27">
        <v>12813.640933500001</v>
      </c>
      <c r="F8" s="33">
        <v>322323.3510041</v>
      </c>
      <c r="G8" s="27">
        <v>11568.752279800001</v>
      </c>
      <c r="H8" s="33">
        <v>290964.76763088</v>
      </c>
      <c r="I8" s="27">
        <v>1362.20007093</v>
      </c>
      <c r="J8" s="33">
        <v>34079.597636099999</v>
      </c>
      <c r="K8" s="27">
        <v>265.93012519000001</v>
      </c>
      <c r="L8" s="33">
        <v>6476.4362272799999</v>
      </c>
    </row>
    <row r="9" spans="2:32" x14ac:dyDescent="0.2">
      <c r="B9" s="25" t="s">
        <v>41</v>
      </c>
      <c r="C9" s="27">
        <v>2561.5496846999999</v>
      </c>
      <c r="D9" s="33">
        <v>102758.43192819</v>
      </c>
      <c r="E9" s="27">
        <v>49787.00653164</v>
      </c>
      <c r="F9" s="33">
        <v>2050805.9418802599</v>
      </c>
      <c r="G9" s="27">
        <v>23467.901133849999</v>
      </c>
      <c r="H9" s="33">
        <v>936846.95519861998</v>
      </c>
      <c r="I9" s="27">
        <v>2678.2975207600002</v>
      </c>
      <c r="J9" s="33">
        <v>106599.35322926</v>
      </c>
      <c r="K9" s="27">
        <v>471.18217035999999</v>
      </c>
      <c r="L9" s="33">
        <v>18653.76139987</v>
      </c>
    </row>
    <row r="10" spans="2:32" x14ac:dyDescent="0.2">
      <c r="B10" s="25" t="s">
        <v>42</v>
      </c>
      <c r="C10" s="27">
        <v>2870.8720002</v>
      </c>
      <c r="D10" s="33">
        <v>178598.60410167999</v>
      </c>
      <c r="E10" s="27">
        <v>60757.447830229998</v>
      </c>
      <c r="F10" s="33">
        <v>3735285.1306595299</v>
      </c>
      <c r="G10" s="27">
        <v>20297.421464300001</v>
      </c>
      <c r="H10" s="33">
        <v>1250333.2719573299</v>
      </c>
      <c r="I10" s="27">
        <v>2666.00061418</v>
      </c>
      <c r="J10" s="33">
        <v>163267.20158093999</v>
      </c>
      <c r="K10" s="27">
        <v>322.41990643000003</v>
      </c>
      <c r="L10" s="33">
        <v>19528.4587378</v>
      </c>
    </row>
    <row r="11" spans="2:32" x14ac:dyDescent="0.2">
      <c r="B11" s="25" t="s">
        <v>43</v>
      </c>
      <c r="C11" s="27">
        <v>2207.8211997499998</v>
      </c>
      <c r="D11" s="33">
        <v>191049.86941756</v>
      </c>
      <c r="E11" s="27">
        <v>39029.486356289999</v>
      </c>
      <c r="F11" s="33">
        <v>3378529.29957397</v>
      </c>
      <c r="G11" s="27">
        <v>10215.274045259999</v>
      </c>
      <c r="H11" s="33">
        <v>874954.43924215005</v>
      </c>
      <c r="I11" s="27">
        <v>1522.7013016599999</v>
      </c>
      <c r="J11" s="33">
        <v>131449.97132648001</v>
      </c>
      <c r="K11" s="27">
        <v>170.86826112</v>
      </c>
      <c r="L11" s="33">
        <v>14694.670900360001</v>
      </c>
    </row>
    <row r="12" spans="2:32" x14ac:dyDescent="0.2">
      <c r="B12" s="25" t="s">
        <v>44</v>
      </c>
      <c r="C12" s="27">
        <v>2252.6112460899999</v>
      </c>
      <c r="D12" s="33">
        <v>272615.86626826</v>
      </c>
      <c r="E12" s="27">
        <v>32769.728080239998</v>
      </c>
      <c r="F12" s="33">
        <v>3915215.6296072402</v>
      </c>
      <c r="G12" s="27">
        <v>5879.1360224399996</v>
      </c>
      <c r="H12" s="33">
        <v>693844.46115482005</v>
      </c>
      <c r="I12" s="27">
        <v>1144.5097797799999</v>
      </c>
      <c r="J12" s="33">
        <v>136322.56361878</v>
      </c>
      <c r="K12" s="27">
        <v>112.72463599</v>
      </c>
      <c r="L12" s="33">
        <v>13557.88624134</v>
      </c>
    </row>
    <row r="13" spans="2:32" x14ac:dyDescent="0.2">
      <c r="B13" s="25" t="s">
        <v>45</v>
      </c>
      <c r="C13" s="27">
        <v>1299.8623824399999</v>
      </c>
      <c r="D13" s="33">
        <v>245101.38028074999</v>
      </c>
      <c r="E13" s="27">
        <v>12117.020465830001</v>
      </c>
      <c r="F13" s="33">
        <v>2217832.3741748701</v>
      </c>
      <c r="G13" s="27">
        <v>1475.65087285</v>
      </c>
      <c r="H13" s="33">
        <v>266763.51897839003</v>
      </c>
      <c r="I13" s="27">
        <v>433.36436823000003</v>
      </c>
      <c r="J13" s="33">
        <v>79504.614755150003</v>
      </c>
      <c r="K13" s="27">
        <v>60.437369310000001</v>
      </c>
      <c r="L13" s="33">
        <v>11611.535904300001</v>
      </c>
    </row>
    <row r="14" spans="2:32" x14ac:dyDescent="0.2">
      <c r="B14" s="25" t="s">
        <v>46</v>
      </c>
      <c r="C14" s="27">
        <v>624.93093775</v>
      </c>
      <c r="D14" s="33">
        <v>208792.34703979999</v>
      </c>
      <c r="E14" s="27">
        <v>3031.8873675</v>
      </c>
      <c r="F14" s="33">
        <v>983819.07826662995</v>
      </c>
      <c r="G14" s="27">
        <v>287.170096</v>
      </c>
      <c r="H14" s="33">
        <v>92245.337941820006</v>
      </c>
      <c r="I14" s="27">
        <v>115.25597143</v>
      </c>
      <c r="J14" s="33">
        <v>37051.182879009997</v>
      </c>
      <c r="K14" s="27">
        <v>23.575942489999999</v>
      </c>
      <c r="L14" s="33">
        <v>7365.7848698199996</v>
      </c>
    </row>
    <row r="15" spans="2:32" x14ac:dyDescent="0.2">
      <c r="B15" s="25" t="s">
        <v>47</v>
      </c>
      <c r="C15" s="27">
        <v>143.02965386</v>
      </c>
      <c r="D15" s="33">
        <v>91154.06190262</v>
      </c>
      <c r="E15" s="27">
        <v>558.12167169999998</v>
      </c>
      <c r="F15" s="33">
        <v>361935.64071969001</v>
      </c>
      <c r="G15" s="27">
        <v>51.273539980000002</v>
      </c>
      <c r="H15" s="33">
        <v>34592.06987313</v>
      </c>
      <c r="I15" s="27">
        <v>20.402891449999998</v>
      </c>
      <c r="J15" s="33">
        <v>13680.45224737</v>
      </c>
      <c r="K15" s="27">
        <v>7.1603721900000004</v>
      </c>
      <c r="L15" s="33">
        <v>4854.3199165300002</v>
      </c>
    </row>
    <row r="16" spans="2:32" x14ac:dyDescent="0.2">
      <c r="B16" s="95" t="s">
        <v>48</v>
      </c>
      <c r="C16" s="27">
        <v>27.013809290000001</v>
      </c>
      <c r="D16" s="33">
        <v>55461.048312079998</v>
      </c>
      <c r="E16" s="27">
        <v>167.78636164</v>
      </c>
      <c r="F16" s="33">
        <v>368848.70216074999</v>
      </c>
      <c r="G16" s="27">
        <v>10.26757873</v>
      </c>
      <c r="H16" s="33">
        <v>25843.27287135</v>
      </c>
      <c r="I16" s="27">
        <v>10.12942522</v>
      </c>
      <c r="J16" s="33">
        <v>25681.24662994</v>
      </c>
      <c r="K16" s="27">
        <v>4.1948085700000002</v>
      </c>
      <c r="L16" s="33">
        <v>5556.1087736500003</v>
      </c>
    </row>
    <row r="17" spans="2:12" x14ac:dyDescent="0.2">
      <c r="B17" s="10" t="s">
        <v>0</v>
      </c>
      <c r="C17" s="90">
        <f>SUM(C5:C16)</f>
        <v>14252.221502929999</v>
      </c>
      <c r="D17" s="31">
        <f t="shared" ref="D17:L17" si="0">SUM(D5:D16)</f>
        <v>1383791.5966042699</v>
      </c>
      <c r="E17" s="90">
        <f t="shared" si="0"/>
        <v>241859.56764576997</v>
      </c>
      <c r="F17" s="31">
        <f t="shared" si="0"/>
        <v>17563184.914926481</v>
      </c>
      <c r="G17" s="90">
        <f t="shared" si="0"/>
        <v>86648.116833929991</v>
      </c>
      <c r="H17" s="31">
        <f t="shared" si="0"/>
        <v>4590388.7301979801</v>
      </c>
      <c r="I17" s="90">
        <f t="shared" si="0"/>
        <v>11681.43505993</v>
      </c>
      <c r="J17" s="31">
        <f t="shared" si="0"/>
        <v>745392.86720446008</v>
      </c>
      <c r="K17" s="90">
        <f t="shared" si="0"/>
        <v>9481.4454570500002</v>
      </c>
      <c r="L17" s="31">
        <f t="shared" si="0"/>
        <v>110807.54444222001</v>
      </c>
    </row>
    <row r="19" spans="2:12" s="170" customFormat="1" x14ac:dyDescent="0.2">
      <c r="B19" s="300" t="s">
        <v>33</v>
      </c>
      <c r="C19" s="292"/>
      <c r="D19" s="292"/>
      <c r="E19" s="292"/>
      <c r="F19" s="292"/>
      <c r="G19" s="292"/>
      <c r="H19" s="292"/>
      <c r="I19" s="292"/>
      <c r="J19" s="292"/>
      <c r="K19" s="292"/>
      <c r="L19" s="292"/>
    </row>
    <row r="20" spans="2:12" ht="24.75" customHeight="1" x14ac:dyDescent="0.2">
      <c r="B20" s="298" t="s">
        <v>548</v>
      </c>
      <c r="C20" s="298"/>
      <c r="D20" s="298"/>
      <c r="E20" s="298"/>
      <c r="F20" s="298"/>
      <c r="G20" s="298"/>
      <c r="H20" s="298"/>
      <c r="I20" s="298"/>
      <c r="J20" s="298"/>
      <c r="K20" s="298"/>
      <c r="L20" s="298"/>
    </row>
    <row r="21" spans="2:12" ht="26.25" customHeight="1" x14ac:dyDescent="0.2">
      <c r="B21" s="298" t="s">
        <v>549</v>
      </c>
      <c r="C21" s="298"/>
      <c r="D21" s="298"/>
      <c r="E21" s="298"/>
      <c r="F21" s="298"/>
      <c r="G21" s="298"/>
      <c r="H21" s="298"/>
      <c r="I21" s="298"/>
      <c r="J21" s="298"/>
      <c r="K21" s="298"/>
      <c r="L21" s="298"/>
    </row>
  </sheetData>
  <mergeCells count="9">
    <mergeCell ref="B20:L20"/>
    <mergeCell ref="B21:L21"/>
    <mergeCell ref="B3:B4"/>
    <mergeCell ref="C3:D3"/>
    <mergeCell ref="E3:F3"/>
    <mergeCell ref="G3:H3"/>
    <mergeCell ref="I3:J3"/>
    <mergeCell ref="K3:L3"/>
    <mergeCell ref="B19:L19"/>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20"/>
  <sheetViews>
    <sheetView view="pageBreakPreview" zoomScaleNormal="100" zoomScaleSheetLayoutView="100" zoomScalePageLayoutView="70" workbookViewId="0">
      <selection activeCell="B52" sqref="B52"/>
    </sheetView>
  </sheetViews>
  <sheetFormatPr baseColWidth="10" defaultRowHeight="12.75" x14ac:dyDescent="0.2"/>
  <cols>
    <col min="1" max="1" width="2" style="76" customWidth="1"/>
    <col min="2" max="2" width="16.28515625" style="76" customWidth="1"/>
    <col min="3" max="3" width="12.7109375" style="76" customWidth="1"/>
    <col min="4" max="4" width="14.7109375" style="76" customWidth="1"/>
    <col min="5" max="5" width="12.7109375" style="76" customWidth="1"/>
    <col min="6" max="6" width="14.7109375" style="76" customWidth="1"/>
    <col min="7" max="7" width="12.7109375" style="76" customWidth="1"/>
    <col min="8" max="8" width="14.7109375" style="76" customWidth="1"/>
    <col min="9" max="9" width="12.7109375" style="76" customWidth="1"/>
    <col min="10" max="10" width="14.7109375" style="76" customWidth="1"/>
    <col min="11" max="11" width="12.7109375" style="76" customWidth="1"/>
    <col min="12" max="12" width="14.7109375" style="76" customWidth="1"/>
    <col min="13" max="16384" width="11.42578125" style="76"/>
  </cols>
  <sheetData>
    <row r="1" spans="2:32" s="11" customFormat="1" ht="15.75" x14ac:dyDescent="0.2">
      <c r="B1" s="186" t="str">
        <f>Inhaltsverzeichnis!B40&amp;" "&amp;Inhaltsverzeichnis!C40&amp;" "&amp;Inhaltsverzeichnis!E40</f>
        <v>Tabelle  13b: Verteilung der Pflichtigen und des Reinvermögens nach Erwerbsart und Stufen des Reinvermögens,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537</v>
      </c>
      <c r="C3" s="323" t="s">
        <v>104</v>
      </c>
      <c r="D3" s="323"/>
      <c r="E3" s="323" t="s">
        <v>105</v>
      </c>
      <c r="F3" s="323"/>
      <c r="G3" s="324" t="s">
        <v>550</v>
      </c>
      <c r="H3" s="325"/>
      <c r="I3" s="324" t="s">
        <v>568</v>
      </c>
      <c r="J3" s="325"/>
      <c r="K3" s="307" t="s">
        <v>12</v>
      </c>
      <c r="L3" s="307"/>
    </row>
    <row r="4" spans="2:32" ht="25.5" x14ac:dyDescent="0.2">
      <c r="B4" s="285"/>
      <c r="C4" s="171" t="s">
        <v>420</v>
      </c>
      <c r="D4" s="180" t="s">
        <v>536</v>
      </c>
      <c r="E4" s="171" t="s">
        <v>420</v>
      </c>
      <c r="F4" s="180" t="s">
        <v>536</v>
      </c>
      <c r="G4" s="171" t="s">
        <v>420</v>
      </c>
      <c r="H4" s="180" t="s">
        <v>536</v>
      </c>
      <c r="I4" s="171" t="s">
        <v>420</v>
      </c>
      <c r="J4" s="180" t="s">
        <v>536</v>
      </c>
      <c r="K4" s="171" t="s">
        <v>420</v>
      </c>
      <c r="L4" s="180" t="s">
        <v>536</v>
      </c>
    </row>
    <row r="5" spans="2:32" x14ac:dyDescent="0.2">
      <c r="B5" s="25">
        <v>0</v>
      </c>
      <c r="C5" s="27">
        <v>3003.8096498800001</v>
      </c>
      <c r="D5" s="33">
        <v>0</v>
      </c>
      <c r="E5" s="27">
        <v>59585.538531710001</v>
      </c>
      <c r="F5" s="33">
        <v>0</v>
      </c>
      <c r="G5" s="27">
        <v>7024.1477420700003</v>
      </c>
      <c r="H5" s="33">
        <v>0</v>
      </c>
      <c r="I5" s="27">
        <v>1654.86069204</v>
      </c>
      <c r="J5" s="33">
        <v>0</v>
      </c>
      <c r="K5" s="27">
        <v>4070.0326047100002</v>
      </c>
      <c r="L5" s="33">
        <v>0</v>
      </c>
    </row>
    <row r="6" spans="2:32" x14ac:dyDescent="0.2">
      <c r="B6" s="25" t="s">
        <v>49</v>
      </c>
      <c r="C6" s="27">
        <v>1776.6581219699999</v>
      </c>
      <c r="D6" s="33">
        <v>17492.748047599998</v>
      </c>
      <c r="E6" s="27">
        <v>69156.496744670003</v>
      </c>
      <c r="F6" s="33">
        <v>620774.72857594001</v>
      </c>
      <c r="G6" s="27">
        <v>12778.17180654</v>
      </c>
      <c r="H6" s="33">
        <v>102983.05314674</v>
      </c>
      <c r="I6" s="27">
        <v>2438.9687247400002</v>
      </c>
      <c r="J6" s="33">
        <v>19998.30429344</v>
      </c>
      <c r="K6" s="27">
        <v>3382.24241979</v>
      </c>
      <c r="L6" s="33">
        <v>21102.154171670001</v>
      </c>
    </row>
    <row r="7" spans="2:32" x14ac:dyDescent="0.2">
      <c r="B7" s="25" t="s">
        <v>51</v>
      </c>
      <c r="C7" s="27">
        <v>898.67313774000002</v>
      </c>
      <c r="D7" s="33">
        <v>32884.364785190002</v>
      </c>
      <c r="E7" s="27">
        <v>23365.065448860001</v>
      </c>
      <c r="F7" s="33">
        <v>846496.04182158003</v>
      </c>
      <c r="G7" s="27">
        <v>4720.9070362000002</v>
      </c>
      <c r="H7" s="33">
        <v>172581.38002641001</v>
      </c>
      <c r="I7" s="27">
        <v>803.49589768999999</v>
      </c>
      <c r="J7" s="33">
        <v>29137.878353790002</v>
      </c>
      <c r="K7" s="27">
        <v>559.27051155000004</v>
      </c>
      <c r="L7" s="33">
        <v>19646.228597559999</v>
      </c>
    </row>
    <row r="8" spans="2:32" x14ac:dyDescent="0.2">
      <c r="B8" s="25" t="s">
        <v>52</v>
      </c>
      <c r="C8" s="27">
        <v>1267.8733064200001</v>
      </c>
      <c r="D8" s="33">
        <v>92291.101804420003</v>
      </c>
      <c r="E8" s="27">
        <v>24584.101822429999</v>
      </c>
      <c r="F8" s="33">
        <v>1772937.30559258</v>
      </c>
      <c r="G8" s="27">
        <v>6534.0558944000004</v>
      </c>
      <c r="H8" s="33">
        <v>477477.93531635997</v>
      </c>
      <c r="I8" s="27">
        <v>919.46213955999997</v>
      </c>
      <c r="J8" s="33">
        <v>66840.850408469996</v>
      </c>
      <c r="K8" s="27">
        <v>433.11789905000001</v>
      </c>
      <c r="L8" s="33">
        <v>30655.81726222</v>
      </c>
    </row>
    <row r="9" spans="2:32" x14ac:dyDescent="0.2">
      <c r="B9" s="25" t="s">
        <v>53</v>
      </c>
      <c r="C9" s="27">
        <v>2097.5599914200002</v>
      </c>
      <c r="D9" s="33">
        <v>351325.19451335998</v>
      </c>
      <c r="E9" s="27">
        <v>29365.90291868</v>
      </c>
      <c r="F9" s="33">
        <v>4755040.0844087796</v>
      </c>
      <c r="G9" s="27">
        <v>12921.754711400001</v>
      </c>
      <c r="H9" s="33">
        <v>2198520.8746633902</v>
      </c>
      <c r="I9" s="27">
        <v>1560.93383756</v>
      </c>
      <c r="J9" s="33">
        <v>260213.59154841001</v>
      </c>
      <c r="K9" s="27">
        <v>343.12632223999998</v>
      </c>
      <c r="L9" s="33">
        <v>55323.21541456</v>
      </c>
    </row>
    <row r="10" spans="2:32" x14ac:dyDescent="0.2">
      <c r="B10" s="25" t="s">
        <v>54</v>
      </c>
      <c r="C10" s="27">
        <v>1868.5438340600001</v>
      </c>
      <c r="D10" s="33">
        <v>681535.36687774002</v>
      </c>
      <c r="E10" s="27">
        <v>17525.014622760002</v>
      </c>
      <c r="F10" s="33">
        <v>6191321.2989868103</v>
      </c>
      <c r="G10" s="27">
        <v>15049.299258319999</v>
      </c>
      <c r="H10" s="33">
        <v>5538985.6245500203</v>
      </c>
      <c r="I10" s="27">
        <v>1459.0125899499999</v>
      </c>
      <c r="J10" s="33">
        <v>524689.80346991995</v>
      </c>
      <c r="K10" s="27">
        <v>224.27459812999999</v>
      </c>
      <c r="L10" s="33">
        <v>81625.179857680007</v>
      </c>
    </row>
    <row r="11" spans="2:32" x14ac:dyDescent="0.2">
      <c r="B11" s="25" t="s">
        <v>55</v>
      </c>
      <c r="C11" s="27">
        <v>1082.31159469</v>
      </c>
      <c r="D11" s="33">
        <v>661044.39742062998</v>
      </c>
      <c r="E11" s="27">
        <v>7258.0648811199999</v>
      </c>
      <c r="F11" s="33">
        <v>4426176.1704853401</v>
      </c>
      <c r="G11" s="27">
        <v>9945.2677030899995</v>
      </c>
      <c r="H11" s="33">
        <v>6118447.0295908302</v>
      </c>
      <c r="I11" s="27">
        <v>890.84972033999998</v>
      </c>
      <c r="J11" s="33">
        <v>547385.46212450997</v>
      </c>
      <c r="K11" s="27">
        <v>133.20777624999999</v>
      </c>
      <c r="L11" s="33">
        <v>82082.867108759994</v>
      </c>
    </row>
    <row r="12" spans="2:32" x14ac:dyDescent="0.2">
      <c r="B12" s="25" t="s">
        <v>56</v>
      </c>
      <c r="C12" s="27">
        <v>599.873062</v>
      </c>
      <c r="D12" s="33">
        <v>517915.61558535998</v>
      </c>
      <c r="E12" s="27">
        <v>3610.4071997800002</v>
      </c>
      <c r="F12" s="33">
        <v>3109862.1373581202</v>
      </c>
      <c r="G12" s="27">
        <v>6063.8233628999997</v>
      </c>
      <c r="H12" s="33">
        <v>5231324.2461087797</v>
      </c>
      <c r="I12" s="27">
        <v>562.28569245999995</v>
      </c>
      <c r="J12" s="33">
        <v>486467.12701242999</v>
      </c>
      <c r="K12" s="27">
        <v>78.775399129999997</v>
      </c>
      <c r="L12" s="33">
        <v>67756.338632579995</v>
      </c>
    </row>
    <row r="13" spans="2:32" x14ac:dyDescent="0.2">
      <c r="B13" s="25" t="s">
        <v>57</v>
      </c>
      <c r="C13" s="27">
        <v>1526.5890785199999</v>
      </c>
      <c r="D13" s="33">
        <v>2916102.3885737699</v>
      </c>
      <c r="E13" s="27">
        <v>6659.3870885699998</v>
      </c>
      <c r="F13" s="33">
        <v>12097854.918179</v>
      </c>
      <c r="G13" s="27">
        <v>11097.518416630001</v>
      </c>
      <c r="H13" s="33">
        <v>19535129.558931001</v>
      </c>
      <c r="I13" s="27">
        <v>1277.46913356</v>
      </c>
      <c r="J13" s="33">
        <v>2361780.7255209601</v>
      </c>
      <c r="K13" s="27">
        <v>200.84998922</v>
      </c>
      <c r="L13" s="33">
        <v>389517.71037718002</v>
      </c>
    </row>
    <row r="14" spans="2:32" x14ac:dyDescent="0.2">
      <c r="B14" s="25" t="s">
        <v>58</v>
      </c>
      <c r="C14" s="27">
        <v>93.406475040000004</v>
      </c>
      <c r="D14" s="33">
        <v>611240.56164813996</v>
      </c>
      <c r="E14" s="27">
        <v>502.25775141000003</v>
      </c>
      <c r="F14" s="33">
        <v>3381780.3679776001</v>
      </c>
      <c r="G14" s="27">
        <v>364.10818122000001</v>
      </c>
      <c r="H14" s="33">
        <v>2466618.5927355099</v>
      </c>
      <c r="I14" s="27">
        <v>81.463758089999999</v>
      </c>
      <c r="J14" s="33">
        <v>532248.27557599999</v>
      </c>
      <c r="K14" s="27">
        <v>40.597016680000003</v>
      </c>
      <c r="L14" s="33">
        <v>274376.33365559002</v>
      </c>
    </row>
    <row r="15" spans="2:32" x14ac:dyDescent="0.2">
      <c r="B15" s="26" t="s">
        <v>50</v>
      </c>
      <c r="C15" s="27">
        <v>36.923251200000003</v>
      </c>
      <c r="D15" s="33">
        <v>690187.66352162999</v>
      </c>
      <c r="E15" s="27">
        <v>247.33063580999999</v>
      </c>
      <c r="F15" s="33">
        <v>6307921.9030624405</v>
      </c>
      <c r="G15" s="27">
        <v>149.06272116</v>
      </c>
      <c r="H15" s="33">
        <v>4908624.9452251801</v>
      </c>
      <c r="I15" s="27">
        <v>32.632873959999998</v>
      </c>
      <c r="J15" s="33">
        <v>981870.92575905996</v>
      </c>
      <c r="K15" s="27">
        <v>15.95092032</v>
      </c>
      <c r="L15" s="33">
        <v>321724.56964751001</v>
      </c>
    </row>
    <row r="16" spans="2:32" x14ac:dyDescent="0.2">
      <c r="B16" s="10" t="s">
        <v>0</v>
      </c>
      <c r="C16" s="90">
        <f t="shared" ref="C16:L16" si="0">SUM(C5:C15)</f>
        <v>14252.221502939998</v>
      </c>
      <c r="D16" s="31">
        <f t="shared" si="0"/>
        <v>6572019.4027778385</v>
      </c>
      <c r="E16" s="90">
        <f t="shared" si="0"/>
        <v>241859.56764580001</v>
      </c>
      <c r="F16" s="31">
        <f t="shared" si="0"/>
        <v>43510164.95644819</v>
      </c>
      <c r="G16" s="90">
        <f t="shared" si="0"/>
        <v>86648.116833929991</v>
      </c>
      <c r="H16" s="31">
        <f t="shared" si="0"/>
        <v>46750693.240294218</v>
      </c>
      <c r="I16" s="90">
        <f t="shared" si="0"/>
        <v>11681.435059949999</v>
      </c>
      <c r="J16" s="31">
        <f t="shared" si="0"/>
        <v>5810632.9440669902</v>
      </c>
      <c r="K16" s="90">
        <f t="shared" si="0"/>
        <v>9481.4454570699982</v>
      </c>
      <c r="L16" s="31">
        <f t="shared" si="0"/>
        <v>1343810.4147253102</v>
      </c>
    </row>
    <row r="18" spans="2:12" s="170" customFormat="1" x14ac:dyDescent="0.2">
      <c r="B18" s="300" t="s">
        <v>33</v>
      </c>
      <c r="C18" s="292"/>
      <c r="D18" s="292"/>
      <c r="E18" s="292"/>
      <c r="F18" s="292"/>
      <c r="G18" s="292"/>
      <c r="H18" s="292"/>
      <c r="I18" s="292"/>
      <c r="J18" s="292"/>
      <c r="K18" s="292"/>
      <c r="L18" s="292"/>
    </row>
    <row r="19" spans="2:12" ht="24.75" customHeight="1" x14ac:dyDescent="0.2">
      <c r="B19" s="298" t="s">
        <v>548</v>
      </c>
      <c r="C19" s="298"/>
      <c r="D19" s="298"/>
      <c r="E19" s="298"/>
      <c r="F19" s="298"/>
      <c r="G19" s="298"/>
      <c r="H19" s="298"/>
      <c r="I19" s="298"/>
      <c r="J19" s="298"/>
      <c r="K19" s="298"/>
      <c r="L19" s="298"/>
    </row>
    <row r="20" spans="2:12" ht="25.5" customHeight="1" x14ac:dyDescent="0.2">
      <c r="B20" s="298" t="s">
        <v>549</v>
      </c>
      <c r="C20" s="298"/>
      <c r="D20" s="298"/>
      <c r="E20" s="298"/>
      <c r="F20" s="298"/>
      <c r="G20" s="298"/>
      <c r="H20" s="298"/>
      <c r="I20" s="298"/>
      <c r="J20" s="298"/>
      <c r="K20" s="298"/>
      <c r="L20" s="298"/>
    </row>
  </sheetData>
  <mergeCells count="9">
    <mergeCell ref="B19:L19"/>
    <mergeCell ref="B20:L20"/>
    <mergeCell ref="B3:B4"/>
    <mergeCell ref="C3:D3"/>
    <mergeCell ref="E3:F3"/>
    <mergeCell ref="G3:H3"/>
    <mergeCell ref="I3:J3"/>
    <mergeCell ref="K3:L3"/>
    <mergeCell ref="B18:L18"/>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20"/>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44" customWidth="1"/>
    <col min="2" max="2" width="16.28515625" style="144" customWidth="1"/>
    <col min="3" max="14" width="10.7109375" style="144" customWidth="1"/>
    <col min="15" max="16384" width="11.42578125" style="144"/>
  </cols>
  <sheetData>
    <row r="1" spans="2:32" s="11" customFormat="1" ht="15.75" x14ac:dyDescent="0.2">
      <c r="B1" s="186" t="str">
        <f>Inhaltsverzeichnis!B41&amp;" "&amp;Inhaltsverzeichnis!C41&amp;" "&amp;Inhaltsverzeichnis!E41</f>
        <v>Tabelle  14a: Verteilung der Pflichtigen und des Reineinkommens nach Familientyp und Stufen des Reineinkommens, 2014</v>
      </c>
      <c r="C1" s="187"/>
      <c r="D1" s="187"/>
      <c r="E1" s="187"/>
      <c r="F1" s="187"/>
      <c r="G1" s="187"/>
      <c r="H1" s="187"/>
      <c r="I1" s="187"/>
      <c r="J1" s="187"/>
      <c r="K1" s="187"/>
      <c r="L1" s="187"/>
      <c r="M1" s="187"/>
      <c r="N1" s="187"/>
      <c r="O1" s="187"/>
      <c r="P1" s="187"/>
      <c r="Q1" s="187"/>
      <c r="R1" s="187"/>
      <c r="S1" s="187"/>
      <c r="T1" s="143"/>
      <c r="U1" s="143"/>
      <c r="V1" s="143"/>
      <c r="W1" s="143"/>
      <c r="X1" s="143"/>
      <c r="Y1" s="143"/>
      <c r="Z1" s="143"/>
      <c r="AA1" s="143"/>
      <c r="AB1" s="143"/>
      <c r="AC1" s="143"/>
      <c r="AD1" s="143"/>
      <c r="AE1" s="143"/>
      <c r="AF1" s="143"/>
    </row>
    <row r="3" spans="2:32" ht="25.5" customHeight="1" x14ac:dyDescent="0.2">
      <c r="B3" s="284" t="s">
        <v>539</v>
      </c>
      <c r="C3" s="327" t="s">
        <v>106</v>
      </c>
      <c r="D3" s="328"/>
      <c r="E3" s="328"/>
      <c r="F3" s="328"/>
      <c r="G3" s="327" t="s">
        <v>67</v>
      </c>
      <c r="H3" s="328"/>
      <c r="I3" s="328"/>
      <c r="J3" s="328"/>
      <c r="K3" s="327" t="s">
        <v>0</v>
      </c>
      <c r="L3" s="328"/>
      <c r="M3" s="328"/>
      <c r="N3" s="328"/>
    </row>
    <row r="4" spans="2:32" s="145" customFormat="1" x14ac:dyDescent="0.2">
      <c r="B4" s="314"/>
      <c r="C4" s="326" t="s">
        <v>95</v>
      </c>
      <c r="D4" s="323"/>
      <c r="E4" s="326" t="s">
        <v>96</v>
      </c>
      <c r="F4" s="323"/>
      <c r="G4" s="326" t="s">
        <v>95</v>
      </c>
      <c r="H4" s="323"/>
      <c r="I4" s="326" t="s">
        <v>96</v>
      </c>
      <c r="J4" s="323"/>
      <c r="K4" s="326" t="s">
        <v>95</v>
      </c>
      <c r="L4" s="323"/>
      <c r="M4" s="326" t="s">
        <v>96</v>
      </c>
      <c r="N4" s="323"/>
    </row>
    <row r="5" spans="2:32" ht="25.5" x14ac:dyDescent="0.2">
      <c r="B5" s="305"/>
      <c r="C5" s="171" t="s">
        <v>420</v>
      </c>
      <c r="D5" s="178" t="s">
        <v>500</v>
      </c>
      <c r="E5" s="171" t="s">
        <v>420</v>
      </c>
      <c r="F5" s="178" t="s">
        <v>500</v>
      </c>
      <c r="G5" s="171" t="s">
        <v>420</v>
      </c>
      <c r="H5" s="178" t="s">
        <v>500</v>
      </c>
      <c r="I5" s="171" t="s">
        <v>420</v>
      </c>
      <c r="J5" s="178" t="s">
        <v>500</v>
      </c>
      <c r="K5" s="171" t="s">
        <v>420</v>
      </c>
      <c r="L5" s="178" t="s">
        <v>500</v>
      </c>
      <c r="M5" s="171" t="s">
        <v>420</v>
      </c>
      <c r="N5" s="178" t="s">
        <v>500</v>
      </c>
    </row>
    <row r="6" spans="2:32" x14ac:dyDescent="0.2">
      <c r="B6" s="25">
        <v>0</v>
      </c>
      <c r="C6" s="27">
        <v>14266.36653435</v>
      </c>
      <c r="D6" s="33">
        <v>0</v>
      </c>
      <c r="E6" s="27">
        <v>255.66730917999999</v>
      </c>
      <c r="F6" s="33">
        <v>0</v>
      </c>
      <c r="G6" s="27">
        <v>652.94559093999999</v>
      </c>
      <c r="H6" s="33">
        <v>0</v>
      </c>
      <c r="I6" s="27">
        <v>365.64213138999997</v>
      </c>
      <c r="J6" s="33">
        <v>0</v>
      </c>
      <c r="K6" s="27">
        <f>C6+G6</f>
        <v>14919.31212529</v>
      </c>
      <c r="L6" s="27">
        <f>D6+H6</f>
        <v>0</v>
      </c>
      <c r="M6" s="27">
        <f>E6+I6</f>
        <v>621.30944056999999</v>
      </c>
      <c r="N6" s="33">
        <f>F6+J6</f>
        <v>0</v>
      </c>
    </row>
    <row r="7" spans="2:32" x14ac:dyDescent="0.2">
      <c r="B7" s="25" t="s">
        <v>38</v>
      </c>
      <c r="C7" s="27">
        <v>19659.010422859999</v>
      </c>
      <c r="D7" s="33">
        <v>96184.048908679993</v>
      </c>
      <c r="E7" s="27">
        <v>443.68355489999999</v>
      </c>
      <c r="F7" s="33">
        <v>2414.3492461999999</v>
      </c>
      <c r="G7" s="27">
        <v>576.49026067</v>
      </c>
      <c r="H7" s="33">
        <v>3191.32143068</v>
      </c>
      <c r="I7" s="27">
        <v>219.36333266</v>
      </c>
      <c r="J7" s="33">
        <v>1190.5259112000001</v>
      </c>
      <c r="K7" s="27">
        <f t="shared" ref="K7:K17" si="0">C7+G7</f>
        <v>20235.500683530001</v>
      </c>
      <c r="L7" s="27">
        <f t="shared" ref="L7:L17" si="1">D7+H7</f>
        <v>99375.370339360001</v>
      </c>
      <c r="M7" s="27">
        <f t="shared" ref="M7:M17" si="2">E7+I7</f>
        <v>663.04688755999996</v>
      </c>
      <c r="N7" s="33">
        <f t="shared" ref="N7:N17" si="3">F7+J7</f>
        <v>3604.8751573999998</v>
      </c>
    </row>
    <row r="8" spans="2:32" x14ac:dyDescent="0.2">
      <c r="B8" s="25" t="s">
        <v>39</v>
      </c>
      <c r="C8" s="27">
        <v>16848.780450670001</v>
      </c>
      <c r="D8" s="33">
        <v>258319.10707642999</v>
      </c>
      <c r="E8" s="27">
        <v>670.61242356000002</v>
      </c>
      <c r="F8" s="33">
        <v>10248.211805839999</v>
      </c>
      <c r="G8" s="27">
        <v>979.93055749999996</v>
      </c>
      <c r="H8" s="33">
        <v>15202.47495575</v>
      </c>
      <c r="I8" s="27">
        <v>294.00887685999999</v>
      </c>
      <c r="J8" s="33">
        <v>4494.8706324599998</v>
      </c>
      <c r="K8" s="27">
        <f t="shared" si="0"/>
        <v>17828.711008170001</v>
      </c>
      <c r="L8" s="27">
        <f t="shared" si="1"/>
        <v>273521.58203217998</v>
      </c>
      <c r="M8" s="27">
        <f t="shared" si="2"/>
        <v>964.62130042000001</v>
      </c>
      <c r="N8" s="33">
        <f t="shared" si="3"/>
        <v>14743.0824383</v>
      </c>
    </row>
    <row r="9" spans="2:32" x14ac:dyDescent="0.2">
      <c r="B9" s="25" t="s">
        <v>40</v>
      </c>
      <c r="C9" s="27">
        <v>23867.773647950002</v>
      </c>
      <c r="D9" s="33">
        <v>599084.01115170994</v>
      </c>
      <c r="E9" s="27">
        <v>1052.58882862</v>
      </c>
      <c r="F9" s="33">
        <v>26843.224729869999</v>
      </c>
      <c r="G9" s="27">
        <v>1648.02596571</v>
      </c>
      <c r="H9" s="33">
        <v>41961.601456149998</v>
      </c>
      <c r="I9" s="27">
        <v>468.40094008</v>
      </c>
      <c r="J9" s="33">
        <v>11826.05954837</v>
      </c>
      <c r="K9" s="27">
        <f t="shared" si="0"/>
        <v>25515.799613660001</v>
      </c>
      <c r="L9" s="27">
        <f t="shared" si="1"/>
        <v>641045.61260785989</v>
      </c>
      <c r="M9" s="27">
        <f t="shared" si="2"/>
        <v>1520.9897687</v>
      </c>
      <c r="N9" s="33">
        <f t="shared" si="3"/>
        <v>38669.284278239997</v>
      </c>
    </row>
    <row r="10" spans="2:32" x14ac:dyDescent="0.2">
      <c r="B10" s="25" t="s">
        <v>41</v>
      </c>
      <c r="C10" s="27">
        <v>62063.320578810002</v>
      </c>
      <c r="D10" s="33">
        <v>2509265.8014925099</v>
      </c>
      <c r="E10" s="27">
        <v>4053.5402962899998</v>
      </c>
      <c r="F10" s="33">
        <v>167116.60019540001</v>
      </c>
      <c r="G10" s="27">
        <v>10024.81554818</v>
      </c>
      <c r="H10" s="33">
        <v>419132.20613091002</v>
      </c>
      <c r="I10" s="27">
        <v>2824.2606180600001</v>
      </c>
      <c r="J10" s="33">
        <v>120149.83581783</v>
      </c>
      <c r="K10" s="27">
        <f t="shared" si="0"/>
        <v>72088.136126990008</v>
      </c>
      <c r="L10" s="27">
        <f t="shared" si="1"/>
        <v>2928398.0076234201</v>
      </c>
      <c r="M10" s="27">
        <f t="shared" si="2"/>
        <v>6877.8009143500003</v>
      </c>
      <c r="N10" s="33">
        <f t="shared" si="3"/>
        <v>287266.43601323001</v>
      </c>
    </row>
    <row r="11" spans="2:32" x14ac:dyDescent="0.2">
      <c r="B11" s="25" t="s">
        <v>42</v>
      </c>
      <c r="C11" s="27">
        <v>48539.581742590002</v>
      </c>
      <c r="D11" s="33">
        <v>2922231.1417433098</v>
      </c>
      <c r="E11" s="27">
        <v>5919.4345568600002</v>
      </c>
      <c r="F11" s="33">
        <v>364154.86935579998</v>
      </c>
      <c r="G11" s="27">
        <v>20076.73264717</v>
      </c>
      <c r="H11" s="33">
        <v>1266112.91236363</v>
      </c>
      <c r="I11" s="27">
        <v>12378.412868740001</v>
      </c>
      <c r="J11" s="33">
        <v>794513.74357655004</v>
      </c>
      <c r="K11" s="27">
        <f t="shared" si="0"/>
        <v>68616.314389759995</v>
      </c>
      <c r="L11" s="27">
        <f t="shared" si="1"/>
        <v>4188344.0541069396</v>
      </c>
      <c r="M11" s="27">
        <f t="shared" si="2"/>
        <v>18297.847425600001</v>
      </c>
      <c r="N11" s="33">
        <f t="shared" si="3"/>
        <v>1158668.61293235</v>
      </c>
    </row>
    <row r="12" spans="2:32" x14ac:dyDescent="0.2">
      <c r="B12" s="25" t="s">
        <v>43</v>
      </c>
      <c r="C12" s="27">
        <v>14521.061196709999</v>
      </c>
      <c r="D12" s="33">
        <v>1236091.5477479401</v>
      </c>
      <c r="E12" s="27">
        <v>2810.19909628</v>
      </c>
      <c r="F12" s="33">
        <v>240947.89292899001</v>
      </c>
      <c r="G12" s="27">
        <v>18594.768125710001</v>
      </c>
      <c r="H12" s="33">
        <v>1611214.5144553101</v>
      </c>
      <c r="I12" s="27">
        <v>17220.122745379998</v>
      </c>
      <c r="J12" s="33">
        <v>1502424.2953276299</v>
      </c>
      <c r="K12" s="27">
        <f t="shared" si="0"/>
        <v>33115.829322420002</v>
      </c>
      <c r="L12" s="27">
        <f t="shared" si="1"/>
        <v>2847306.0622032499</v>
      </c>
      <c r="M12" s="27">
        <f t="shared" si="2"/>
        <v>20030.321841659999</v>
      </c>
      <c r="N12" s="33">
        <f t="shared" si="3"/>
        <v>1743372.18825662</v>
      </c>
    </row>
    <row r="13" spans="2:32" x14ac:dyDescent="0.2">
      <c r="B13" s="25" t="s">
        <v>44</v>
      </c>
      <c r="C13" s="27">
        <v>6525.4789775500003</v>
      </c>
      <c r="D13" s="33">
        <v>764371.02519448998</v>
      </c>
      <c r="E13" s="27">
        <v>1651.8925576500001</v>
      </c>
      <c r="F13" s="33">
        <v>194064.79941362</v>
      </c>
      <c r="G13" s="27">
        <v>16214.41797832</v>
      </c>
      <c r="H13" s="33">
        <v>1940674.09627386</v>
      </c>
      <c r="I13" s="27">
        <v>17766.92025101</v>
      </c>
      <c r="J13" s="33">
        <v>2132446.4860081701</v>
      </c>
      <c r="K13" s="27">
        <f t="shared" si="0"/>
        <v>22739.896955870001</v>
      </c>
      <c r="L13" s="27">
        <f t="shared" si="1"/>
        <v>2705045.1214683498</v>
      </c>
      <c r="M13" s="27">
        <f t="shared" si="2"/>
        <v>19418.812808660001</v>
      </c>
      <c r="N13" s="33">
        <f t="shared" si="3"/>
        <v>2326511.2854217901</v>
      </c>
    </row>
    <row r="14" spans="2:32" x14ac:dyDescent="0.2">
      <c r="B14" s="25" t="s">
        <v>45</v>
      </c>
      <c r="C14" s="27">
        <v>1781.01725642</v>
      </c>
      <c r="D14" s="33">
        <v>328804.41906554002</v>
      </c>
      <c r="E14" s="27">
        <v>440.53647850999999</v>
      </c>
      <c r="F14" s="33">
        <v>80173.850119440001</v>
      </c>
      <c r="G14" s="27">
        <v>5878.31702451</v>
      </c>
      <c r="H14" s="33">
        <v>1075070.6048808601</v>
      </c>
      <c r="I14" s="27">
        <v>7286.4646992099997</v>
      </c>
      <c r="J14" s="33">
        <v>1336764.55002754</v>
      </c>
      <c r="K14" s="27">
        <f t="shared" si="0"/>
        <v>7659.3342809300002</v>
      </c>
      <c r="L14" s="27">
        <f t="shared" si="1"/>
        <v>1403875.0239464</v>
      </c>
      <c r="M14" s="27">
        <f t="shared" si="2"/>
        <v>7727.0011777199998</v>
      </c>
      <c r="N14" s="33">
        <f t="shared" si="3"/>
        <v>1416938.4001469798</v>
      </c>
    </row>
    <row r="15" spans="2:32" x14ac:dyDescent="0.2">
      <c r="B15" s="25" t="s">
        <v>46</v>
      </c>
      <c r="C15" s="27">
        <v>519.21823744000005</v>
      </c>
      <c r="D15" s="33">
        <v>168018.16601233001</v>
      </c>
      <c r="E15" s="27">
        <v>137.14793331000001</v>
      </c>
      <c r="F15" s="33">
        <v>45408.586811219997</v>
      </c>
      <c r="G15" s="27">
        <v>1459.1449626399999</v>
      </c>
      <c r="H15" s="33">
        <v>473437.56886160001</v>
      </c>
      <c r="I15" s="27">
        <v>1967.3091817699999</v>
      </c>
      <c r="J15" s="33">
        <v>642409.40931193996</v>
      </c>
      <c r="K15" s="27">
        <f t="shared" si="0"/>
        <v>1978.3632000799998</v>
      </c>
      <c r="L15" s="27">
        <f t="shared" si="1"/>
        <v>641455.73487392999</v>
      </c>
      <c r="M15" s="27">
        <f t="shared" si="2"/>
        <v>2104.4571150799998</v>
      </c>
      <c r="N15" s="33">
        <f t="shared" si="3"/>
        <v>687817.99612316</v>
      </c>
    </row>
    <row r="16" spans="2:32" x14ac:dyDescent="0.2">
      <c r="B16" s="25" t="s">
        <v>47</v>
      </c>
      <c r="C16" s="27">
        <v>88.958822269999999</v>
      </c>
      <c r="D16" s="33">
        <v>58759.164609990003</v>
      </c>
      <c r="E16" s="27">
        <v>27.342509799999998</v>
      </c>
      <c r="F16" s="33">
        <v>18098.628960890001</v>
      </c>
      <c r="G16" s="27">
        <v>300.94930348000003</v>
      </c>
      <c r="H16" s="33">
        <v>195276.41808415001</v>
      </c>
      <c r="I16" s="27">
        <v>362.73749364000003</v>
      </c>
      <c r="J16" s="33">
        <v>234082.33300431</v>
      </c>
      <c r="K16" s="27">
        <f t="shared" si="0"/>
        <v>389.90812575000001</v>
      </c>
      <c r="L16" s="27">
        <f t="shared" si="1"/>
        <v>254035.58269414</v>
      </c>
      <c r="M16" s="27">
        <f t="shared" si="2"/>
        <v>390.08000344000004</v>
      </c>
      <c r="N16" s="33">
        <f t="shared" si="3"/>
        <v>252180.9619652</v>
      </c>
    </row>
    <row r="17" spans="2:14" x14ac:dyDescent="0.2">
      <c r="B17" s="26" t="s">
        <v>48</v>
      </c>
      <c r="C17" s="27">
        <v>28.394805730000002</v>
      </c>
      <c r="D17" s="33">
        <v>78781.188433129995</v>
      </c>
      <c r="E17" s="27">
        <v>11.655972780000001</v>
      </c>
      <c r="F17" s="33">
        <v>19622.78782057</v>
      </c>
      <c r="G17" s="27">
        <v>84.567613480000006</v>
      </c>
      <c r="H17" s="33">
        <v>198999.19660914</v>
      </c>
      <c r="I17" s="27">
        <v>94.773591479999993</v>
      </c>
      <c r="J17" s="33">
        <v>183987.20588492</v>
      </c>
      <c r="K17" s="27">
        <f t="shared" si="0"/>
        <v>112.96241921000001</v>
      </c>
      <c r="L17" s="27">
        <f t="shared" si="1"/>
        <v>277780.38504227001</v>
      </c>
      <c r="M17" s="27">
        <f t="shared" si="2"/>
        <v>106.42956425999999</v>
      </c>
      <c r="N17" s="33">
        <f t="shared" si="3"/>
        <v>203609.99370548999</v>
      </c>
    </row>
    <row r="18" spans="2:14" x14ac:dyDescent="0.2">
      <c r="B18" s="10" t="s">
        <v>0</v>
      </c>
      <c r="C18" s="90">
        <f t="shared" ref="C18:L18" si="4">SUM(C6:C17)</f>
        <v>208708.96267335003</v>
      </c>
      <c r="D18" s="31">
        <f t="shared" si="4"/>
        <v>9019909.6214360595</v>
      </c>
      <c r="E18" s="90">
        <f t="shared" si="4"/>
        <v>17474.301517740001</v>
      </c>
      <c r="F18" s="31">
        <f t="shared" si="4"/>
        <v>1169093.8013878402</v>
      </c>
      <c r="G18" s="90">
        <f t="shared" si="4"/>
        <v>76491.105578310002</v>
      </c>
      <c r="H18" s="31">
        <f t="shared" si="4"/>
        <v>7240272.9155020406</v>
      </c>
      <c r="I18" s="90">
        <f t="shared" si="4"/>
        <v>61248.416730279998</v>
      </c>
      <c r="J18" s="31">
        <f t="shared" si="4"/>
        <v>6964289.3150509205</v>
      </c>
      <c r="K18" s="90">
        <f t="shared" si="4"/>
        <v>285200.06825166004</v>
      </c>
      <c r="L18" s="31">
        <f t="shared" si="4"/>
        <v>16260182.536938101</v>
      </c>
      <c r="M18" s="90">
        <f t="shared" ref="M18:N18" si="5">SUM(M6:M17)</f>
        <v>78722.718248020014</v>
      </c>
      <c r="N18" s="31">
        <f t="shared" si="5"/>
        <v>8133383.1164387595</v>
      </c>
    </row>
    <row r="20" spans="2:14" x14ac:dyDescent="0.2">
      <c r="B20" s="300" t="s">
        <v>33</v>
      </c>
      <c r="C20" s="292"/>
      <c r="D20" s="292"/>
      <c r="E20" s="292"/>
      <c r="F20" s="292"/>
      <c r="G20" s="292"/>
      <c r="H20" s="292"/>
      <c r="I20" s="292"/>
      <c r="J20" s="292"/>
      <c r="K20" s="292"/>
      <c r="L20" s="292"/>
      <c r="M20" s="292"/>
      <c r="N20" s="292"/>
    </row>
  </sheetData>
  <mergeCells count="11">
    <mergeCell ref="B20:N20"/>
    <mergeCell ref="C4:D4"/>
    <mergeCell ref="E4:F4"/>
    <mergeCell ref="G4:H4"/>
    <mergeCell ref="I4:J4"/>
    <mergeCell ref="K4:L4"/>
    <mergeCell ref="M4:N4"/>
    <mergeCell ref="B3:B5"/>
    <mergeCell ref="C3:F3"/>
    <mergeCell ref="G3:J3"/>
    <mergeCell ref="K3:N3"/>
  </mergeCells>
  <pageMargins left="0.78740157480314965" right="0.78740157480314965" top="0.98425196850393704" bottom="0.98425196850393704" header="0.51181102362204722" footer="0.51181102362204722"/>
  <pageSetup paperSize="9" scale="89" orientation="landscape" r:id="rId1"/>
  <headerFooter alignWithMargins="0"/>
  <colBreaks count="1" manualBreakCount="1">
    <brk id="14" max="4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44" customWidth="1"/>
    <col min="2" max="2" width="16.28515625" style="144" customWidth="1"/>
    <col min="3" max="14" width="10.7109375" style="144" customWidth="1"/>
    <col min="15" max="16384" width="11.42578125" style="144"/>
  </cols>
  <sheetData>
    <row r="1" spans="2:32" s="11" customFormat="1" ht="15.75" x14ac:dyDescent="0.2">
      <c r="B1" s="186" t="str">
        <f>Inhaltsverzeichnis!B42&amp;" "&amp;Inhaltsverzeichnis!C42&amp;" "&amp;Inhaltsverzeichnis!E42</f>
        <v>Tabelle  14b: Verteilung der Pflichtigen und des Reinvermögens nach Familientyp und Stufen des Reinvermögens 2014</v>
      </c>
      <c r="C1" s="187"/>
      <c r="D1" s="187"/>
      <c r="E1" s="187"/>
      <c r="F1" s="187"/>
      <c r="G1" s="187"/>
      <c r="H1" s="187"/>
      <c r="I1" s="187"/>
      <c r="J1" s="187"/>
      <c r="K1" s="187"/>
      <c r="L1" s="187"/>
      <c r="M1" s="187"/>
      <c r="N1" s="187"/>
      <c r="O1" s="187"/>
      <c r="P1" s="187"/>
      <c r="Q1" s="187"/>
      <c r="R1" s="187"/>
      <c r="S1" s="187"/>
      <c r="T1" s="143"/>
      <c r="U1" s="143"/>
      <c r="V1" s="143"/>
      <c r="W1" s="143"/>
      <c r="X1" s="143"/>
      <c r="Y1" s="143"/>
      <c r="Z1" s="143"/>
      <c r="AA1" s="143"/>
      <c r="AB1" s="143"/>
      <c r="AC1" s="143"/>
      <c r="AD1" s="143"/>
      <c r="AE1" s="143"/>
      <c r="AF1" s="143"/>
    </row>
    <row r="3" spans="2:32" ht="25.5" customHeight="1" x14ac:dyDescent="0.2">
      <c r="B3" s="284" t="s">
        <v>537</v>
      </c>
      <c r="C3" s="327" t="s">
        <v>569</v>
      </c>
      <c r="D3" s="328"/>
      <c r="E3" s="328"/>
      <c r="F3" s="328"/>
      <c r="G3" s="327" t="s">
        <v>67</v>
      </c>
      <c r="H3" s="328"/>
      <c r="I3" s="328"/>
      <c r="J3" s="328"/>
      <c r="K3" s="327" t="s">
        <v>0</v>
      </c>
      <c r="L3" s="328"/>
      <c r="M3" s="328"/>
      <c r="N3" s="328"/>
    </row>
    <row r="4" spans="2:32" s="145" customFormat="1" x14ac:dyDescent="0.2">
      <c r="B4" s="314"/>
      <c r="C4" s="326" t="s">
        <v>95</v>
      </c>
      <c r="D4" s="323"/>
      <c r="E4" s="326" t="s">
        <v>96</v>
      </c>
      <c r="F4" s="323"/>
      <c r="G4" s="326" t="s">
        <v>95</v>
      </c>
      <c r="H4" s="323"/>
      <c r="I4" s="326" t="s">
        <v>96</v>
      </c>
      <c r="J4" s="323"/>
      <c r="K4" s="326" t="s">
        <v>95</v>
      </c>
      <c r="L4" s="323"/>
      <c r="M4" s="326" t="s">
        <v>96</v>
      </c>
      <c r="N4" s="323"/>
    </row>
    <row r="5" spans="2:32" ht="25.5" x14ac:dyDescent="0.2">
      <c r="B5" s="305"/>
      <c r="C5" s="171" t="s">
        <v>420</v>
      </c>
      <c r="D5" s="180" t="s">
        <v>501</v>
      </c>
      <c r="E5" s="171" t="s">
        <v>420</v>
      </c>
      <c r="F5" s="180" t="s">
        <v>501</v>
      </c>
      <c r="G5" s="171" t="s">
        <v>420</v>
      </c>
      <c r="H5" s="180" t="s">
        <v>501</v>
      </c>
      <c r="I5" s="171" t="s">
        <v>420</v>
      </c>
      <c r="J5" s="180" t="s">
        <v>501</v>
      </c>
      <c r="K5" s="171" t="s">
        <v>420</v>
      </c>
      <c r="L5" s="180" t="s">
        <v>501</v>
      </c>
      <c r="M5" s="171" t="s">
        <v>420</v>
      </c>
      <c r="N5" s="180" t="s">
        <v>501</v>
      </c>
    </row>
    <row r="6" spans="2:32" x14ac:dyDescent="0.2">
      <c r="B6" s="25">
        <v>0</v>
      </c>
      <c r="C6" s="27">
        <v>39552.442525099999</v>
      </c>
      <c r="D6" s="33">
        <v>0</v>
      </c>
      <c r="E6" s="27">
        <v>5794.2779406199998</v>
      </c>
      <c r="F6" s="33">
        <v>0</v>
      </c>
      <c r="G6" s="27">
        <v>10128.47093197</v>
      </c>
      <c r="H6" s="33">
        <v>0</v>
      </c>
      <c r="I6" s="27">
        <v>19863.19782274</v>
      </c>
      <c r="J6" s="33">
        <v>0</v>
      </c>
      <c r="K6" s="27">
        <f>C6+G6</f>
        <v>49680.913457069997</v>
      </c>
      <c r="L6" s="27">
        <f>D6+H6</f>
        <v>0</v>
      </c>
      <c r="M6" s="27">
        <f>E6+I6</f>
        <v>25657.475763359998</v>
      </c>
      <c r="N6" s="33">
        <f>F6+J6</f>
        <v>0</v>
      </c>
    </row>
    <row r="7" spans="2:32" x14ac:dyDescent="0.2">
      <c r="B7" s="25" t="s">
        <v>49</v>
      </c>
      <c r="C7" s="27">
        <v>69438.006819389993</v>
      </c>
      <c r="D7" s="33">
        <v>599598.78935533995</v>
      </c>
      <c r="E7" s="27">
        <v>4844.8114944600002</v>
      </c>
      <c r="F7" s="33">
        <v>37602.704954360001</v>
      </c>
      <c r="G7" s="27">
        <v>6671.4545626299996</v>
      </c>
      <c r="H7" s="33">
        <v>61916.973213689998</v>
      </c>
      <c r="I7" s="27">
        <v>8578.2649412600003</v>
      </c>
      <c r="J7" s="33">
        <v>83232.52071225</v>
      </c>
      <c r="K7" s="27">
        <f t="shared" ref="K7:N16" si="0">C7+G7</f>
        <v>76109.461382019988</v>
      </c>
      <c r="L7" s="27">
        <f t="shared" si="0"/>
        <v>661515.76256902993</v>
      </c>
      <c r="M7" s="27">
        <f t="shared" si="0"/>
        <v>13423.076435720001</v>
      </c>
      <c r="N7" s="33">
        <f t="shared" si="0"/>
        <v>120835.22566661</v>
      </c>
    </row>
    <row r="8" spans="2:32" x14ac:dyDescent="0.2">
      <c r="B8" s="25" t="s">
        <v>51</v>
      </c>
      <c r="C8" s="27">
        <v>21361.30985061</v>
      </c>
      <c r="D8" s="33">
        <v>769008.44180805003</v>
      </c>
      <c r="E8" s="27">
        <v>1428.72752094</v>
      </c>
      <c r="F8" s="33">
        <v>51966.03275423</v>
      </c>
      <c r="G8" s="27">
        <v>3415.5109566400001</v>
      </c>
      <c r="H8" s="33">
        <v>126782.38894355</v>
      </c>
      <c r="I8" s="27">
        <v>4141.8637038500001</v>
      </c>
      <c r="J8" s="33">
        <v>152989.03007866</v>
      </c>
      <c r="K8" s="27">
        <f t="shared" si="0"/>
        <v>24776.820807249998</v>
      </c>
      <c r="L8" s="27">
        <f t="shared" si="0"/>
        <v>895790.83075159998</v>
      </c>
      <c r="M8" s="27">
        <f t="shared" si="0"/>
        <v>5570.5912247899996</v>
      </c>
      <c r="N8" s="33">
        <f t="shared" si="0"/>
        <v>204955.06283288999</v>
      </c>
    </row>
    <row r="9" spans="2:32" x14ac:dyDescent="0.2">
      <c r="B9" s="25" t="s">
        <v>52</v>
      </c>
      <c r="C9" s="27">
        <v>20997.287470660001</v>
      </c>
      <c r="D9" s="33">
        <v>1508034.2547414701</v>
      </c>
      <c r="E9" s="27">
        <v>1582.50852951</v>
      </c>
      <c r="F9" s="33">
        <v>113869.66880367001</v>
      </c>
      <c r="G9" s="27">
        <v>5508.7966200499995</v>
      </c>
      <c r="H9" s="33">
        <v>404946.78113235999</v>
      </c>
      <c r="I9" s="27">
        <v>5650.0184416499997</v>
      </c>
      <c r="J9" s="33">
        <v>413352.30570644001</v>
      </c>
      <c r="K9" s="27">
        <f t="shared" si="0"/>
        <v>26506.084090709999</v>
      </c>
      <c r="L9" s="27">
        <f t="shared" si="0"/>
        <v>1912981.0358738301</v>
      </c>
      <c r="M9" s="27">
        <f t="shared" si="0"/>
        <v>7232.5269711599994</v>
      </c>
      <c r="N9" s="33">
        <f t="shared" si="0"/>
        <v>527221.97451010998</v>
      </c>
    </row>
    <row r="10" spans="2:32" x14ac:dyDescent="0.2">
      <c r="B10" s="25" t="s">
        <v>53</v>
      </c>
      <c r="C10" s="27">
        <v>22811.94726089</v>
      </c>
      <c r="D10" s="33">
        <v>3691609.7194038699</v>
      </c>
      <c r="E10" s="27">
        <v>1895.14776145</v>
      </c>
      <c r="F10" s="33">
        <v>305327.33931014</v>
      </c>
      <c r="G10" s="27">
        <v>12291.555984889999</v>
      </c>
      <c r="H10" s="33">
        <v>2086725.3983631199</v>
      </c>
      <c r="I10" s="27">
        <v>9290.6267740500007</v>
      </c>
      <c r="J10" s="33">
        <v>1536760.5034705801</v>
      </c>
      <c r="K10" s="27">
        <f t="shared" si="0"/>
        <v>35103.503245779997</v>
      </c>
      <c r="L10" s="27">
        <f t="shared" si="0"/>
        <v>5778335.1177669894</v>
      </c>
      <c r="M10" s="27">
        <f t="shared" si="0"/>
        <v>11185.774535500001</v>
      </c>
      <c r="N10" s="33">
        <f t="shared" si="0"/>
        <v>1842087.84278072</v>
      </c>
    </row>
    <row r="11" spans="2:32" x14ac:dyDescent="0.2">
      <c r="B11" s="25" t="s">
        <v>54</v>
      </c>
      <c r="C11" s="27">
        <v>15752.973628420001</v>
      </c>
      <c r="D11" s="33">
        <v>5643325.2645444898</v>
      </c>
      <c r="E11" s="27">
        <v>979.91705164999996</v>
      </c>
      <c r="F11" s="33">
        <v>344701.64665621001</v>
      </c>
      <c r="G11" s="27">
        <v>13112.22924241</v>
      </c>
      <c r="H11" s="33">
        <v>4799243.5598097304</v>
      </c>
      <c r="I11" s="27">
        <v>6281.0249807399996</v>
      </c>
      <c r="J11" s="33">
        <v>2230886.80273171</v>
      </c>
      <c r="K11" s="27">
        <f t="shared" si="0"/>
        <v>28865.202870829999</v>
      </c>
      <c r="L11" s="27">
        <f t="shared" si="0"/>
        <v>10442568.82435422</v>
      </c>
      <c r="M11" s="27">
        <f t="shared" si="0"/>
        <v>7260.9420323899994</v>
      </c>
      <c r="N11" s="33">
        <f t="shared" si="0"/>
        <v>2575588.4493879201</v>
      </c>
    </row>
    <row r="12" spans="2:32" x14ac:dyDescent="0.2">
      <c r="B12" s="25" t="s">
        <v>55</v>
      </c>
      <c r="C12" s="27">
        <v>7691.4002747799996</v>
      </c>
      <c r="D12" s="33">
        <v>4705000.0217746496</v>
      </c>
      <c r="E12" s="27">
        <v>422.39173853</v>
      </c>
      <c r="F12" s="33">
        <v>258321.23767755</v>
      </c>
      <c r="G12" s="27">
        <v>8408.4941458100002</v>
      </c>
      <c r="H12" s="33">
        <v>5176923.2660864396</v>
      </c>
      <c r="I12" s="27">
        <v>2787.4155163700002</v>
      </c>
      <c r="J12" s="33">
        <v>1694891.4011911501</v>
      </c>
      <c r="K12" s="27">
        <f t="shared" si="0"/>
        <v>16099.894420590001</v>
      </c>
      <c r="L12" s="27">
        <f t="shared" si="0"/>
        <v>9881923.2878610902</v>
      </c>
      <c r="M12" s="27">
        <f t="shared" si="0"/>
        <v>3209.8072549000003</v>
      </c>
      <c r="N12" s="33">
        <f t="shared" si="0"/>
        <v>1953212.6388687</v>
      </c>
    </row>
    <row r="13" spans="2:32" x14ac:dyDescent="0.2">
      <c r="B13" s="25" t="s">
        <v>56</v>
      </c>
      <c r="C13" s="27">
        <v>4039.0468421800001</v>
      </c>
      <c r="D13" s="33">
        <v>3471967.7086321502</v>
      </c>
      <c r="E13" s="27">
        <v>169.56916158999999</v>
      </c>
      <c r="F13" s="33">
        <v>145206.79873474999</v>
      </c>
      <c r="G13" s="27">
        <v>5246.3990493600004</v>
      </c>
      <c r="H13" s="33">
        <v>4536675.0212086001</v>
      </c>
      <c r="I13" s="27">
        <v>1460.14966314</v>
      </c>
      <c r="J13" s="33">
        <v>1259475.9361219399</v>
      </c>
      <c r="K13" s="27">
        <f t="shared" si="0"/>
        <v>9285.445891540001</v>
      </c>
      <c r="L13" s="27">
        <f t="shared" si="0"/>
        <v>8008642.7298407499</v>
      </c>
      <c r="M13" s="27">
        <f t="shared" si="0"/>
        <v>1629.7188247300001</v>
      </c>
      <c r="N13" s="33">
        <f t="shared" si="0"/>
        <v>1404682.7348566898</v>
      </c>
    </row>
    <row r="14" spans="2:32" x14ac:dyDescent="0.2">
      <c r="B14" s="25" t="s">
        <v>57</v>
      </c>
      <c r="C14" s="27">
        <v>6668.0896230199996</v>
      </c>
      <c r="D14" s="33">
        <v>11571036.3594556</v>
      </c>
      <c r="E14" s="27">
        <v>311.58938381000002</v>
      </c>
      <c r="F14" s="33">
        <v>579190.77037837997</v>
      </c>
      <c r="G14" s="27">
        <v>10912.408156519999</v>
      </c>
      <c r="H14" s="33">
        <v>19870009.512171</v>
      </c>
      <c r="I14" s="27">
        <v>2869.72654315</v>
      </c>
      <c r="J14" s="33">
        <v>5280148.6595771601</v>
      </c>
      <c r="K14" s="27">
        <f t="shared" si="0"/>
        <v>17580.497779539997</v>
      </c>
      <c r="L14" s="27">
        <f t="shared" si="0"/>
        <v>31441045.871626601</v>
      </c>
      <c r="M14" s="27">
        <f t="shared" si="0"/>
        <v>3181.3159269600001</v>
      </c>
      <c r="N14" s="33">
        <f t="shared" si="0"/>
        <v>5859339.4299555402</v>
      </c>
    </row>
    <row r="15" spans="2:32" x14ac:dyDescent="0.2">
      <c r="B15" s="25" t="s">
        <v>58</v>
      </c>
      <c r="C15" s="27">
        <v>284.45396656000003</v>
      </c>
      <c r="D15" s="33">
        <v>1954085.59659602</v>
      </c>
      <c r="E15" s="27">
        <v>31.714605389999999</v>
      </c>
      <c r="F15" s="33">
        <v>211187.70197292999</v>
      </c>
      <c r="G15" s="27">
        <v>541.42146943</v>
      </c>
      <c r="H15" s="33">
        <v>3585094.9760869099</v>
      </c>
      <c r="I15" s="27">
        <v>224.24314104000001</v>
      </c>
      <c r="J15" s="33">
        <v>1515895.85693698</v>
      </c>
      <c r="K15" s="27">
        <f t="shared" si="0"/>
        <v>825.87543599000003</v>
      </c>
      <c r="L15" s="27">
        <f t="shared" si="0"/>
        <v>5539180.5726829302</v>
      </c>
      <c r="M15" s="27">
        <f t="shared" si="0"/>
        <v>255.95774643000001</v>
      </c>
      <c r="N15" s="33">
        <f t="shared" si="0"/>
        <v>1727083.55890991</v>
      </c>
    </row>
    <row r="16" spans="2:32" x14ac:dyDescent="0.2">
      <c r="B16" s="26" t="s">
        <v>50</v>
      </c>
      <c r="C16" s="27">
        <v>112.00441173</v>
      </c>
      <c r="D16" s="33">
        <v>4360146.5886630099</v>
      </c>
      <c r="E16" s="27">
        <v>13.6463298</v>
      </c>
      <c r="F16" s="33">
        <v>269789.37708604999</v>
      </c>
      <c r="G16" s="27">
        <v>254.36445863</v>
      </c>
      <c r="H16" s="33">
        <v>6501811.7133877203</v>
      </c>
      <c r="I16" s="27">
        <v>101.88520226999999</v>
      </c>
      <c r="J16" s="33">
        <v>2078582.3280790499</v>
      </c>
      <c r="K16" s="27">
        <f t="shared" si="0"/>
        <v>366.36887036000002</v>
      </c>
      <c r="L16" s="27">
        <f t="shared" si="0"/>
        <v>10861958.30205073</v>
      </c>
      <c r="M16" s="27">
        <f t="shared" si="0"/>
        <v>115.53153207</v>
      </c>
      <c r="N16" s="33">
        <f t="shared" si="0"/>
        <v>2348371.7051650998</v>
      </c>
    </row>
    <row r="17" spans="2:14" x14ac:dyDescent="0.2">
      <c r="B17" s="10" t="s">
        <v>0</v>
      </c>
      <c r="C17" s="90">
        <f t="shared" ref="C17:N17" si="1">SUM(C6:C16)</f>
        <v>208708.96267333999</v>
      </c>
      <c r="D17" s="31">
        <f t="shared" si="1"/>
        <v>38273812.74497465</v>
      </c>
      <c r="E17" s="90">
        <f t="shared" si="1"/>
        <v>17474.301517750002</v>
      </c>
      <c r="F17" s="31">
        <f t="shared" si="1"/>
        <v>2317163.2783282697</v>
      </c>
      <c r="G17" s="90">
        <f t="shared" si="1"/>
        <v>76491.105578340008</v>
      </c>
      <c r="H17" s="31">
        <f t="shared" si="1"/>
        <v>47150129.590403117</v>
      </c>
      <c r="I17" s="90">
        <f t="shared" si="1"/>
        <v>61248.416730259996</v>
      </c>
      <c r="J17" s="31">
        <f t="shared" si="1"/>
        <v>16246215.344605921</v>
      </c>
      <c r="K17" s="90">
        <f t="shared" si="1"/>
        <v>285200.06825167994</v>
      </c>
      <c r="L17" s="31">
        <f t="shared" si="1"/>
        <v>85423942.335377768</v>
      </c>
      <c r="M17" s="90">
        <f t="shared" si="1"/>
        <v>78722.718248010002</v>
      </c>
      <c r="N17" s="31">
        <f t="shared" si="1"/>
        <v>18563378.622934189</v>
      </c>
    </row>
    <row r="19" spans="2:14" x14ac:dyDescent="0.2">
      <c r="B19" s="300" t="s">
        <v>33</v>
      </c>
      <c r="C19" s="292"/>
      <c r="D19" s="292"/>
      <c r="E19" s="292"/>
      <c r="F19" s="292"/>
      <c r="G19" s="292"/>
      <c r="H19" s="292"/>
      <c r="I19" s="292"/>
      <c r="J19" s="292"/>
      <c r="K19" s="292"/>
      <c r="L19" s="292"/>
      <c r="M19" s="292"/>
      <c r="N19" s="292"/>
    </row>
  </sheetData>
  <mergeCells count="11">
    <mergeCell ref="B19:N19"/>
    <mergeCell ref="M4:N4"/>
    <mergeCell ref="B3:B5"/>
    <mergeCell ref="C3:F3"/>
    <mergeCell ref="G3:J3"/>
    <mergeCell ref="K3:N3"/>
    <mergeCell ref="C4:D4"/>
    <mergeCell ref="E4:F4"/>
    <mergeCell ref="G4:H4"/>
    <mergeCell ref="I4:J4"/>
    <mergeCell ref="K4:L4"/>
  </mergeCells>
  <pageMargins left="0.78740157480314965" right="0.78740157480314965" top="0.98425196850393704" bottom="0.98425196850393704" header="0.51181102362204722" footer="0.51181102362204722"/>
  <pageSetup paperSize="9" scale="89" orientation="landscape" r:id="rId1"/>
  <headerFooter alignWithMargins="0"/>
  <colBreaks count="1" manualBreakCount="1">
    <brk id="14" max="4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1:AC61"/>
  <sheetViews>
    <sheetView view="pageBreakPreview" zoomScaleNormal="70" zoomScaleSheetLayoutView="100" workbookViewId="0">
      <selection activeCell="B1" sqref="B1"/>
    </sheetView>
  </sheetViews>
  <sheetFormatPr baseColWidth="10" defaultRowHeight="12.75" x14ac:dyDescent="0.2"/>
  <cols>
    <col min="1" max="1" width="2" style="42" customWidth="1"/>
    <col min="2" max="2" width="5.7109375" style="42" customWidth="1"/>
    <col min="3" max="3" width="14.5703125" style="42" customWidth="1"/>
    <col min="4" max="4" width="17.85546875" style="42" customWidth="1"/>
    <col min="5" max="5" width="16.85546875" style="42" customWidth="1"/>
    <col min="6" max="6" width="14.5703125" style="42" customWidth="1"/>
    <col min="7" max="7" width="15.5703125" style="42" customWidth="1"/>
    <col min="8" max="8" width="14.5703125" style="42" customWidth="1"/>
    <col min="9" max="29" width="14" style="42" customWidth="1"/>
    <col min="30" max="16384" width="11.42578125" style="42"/>
  </cols>
  <sheetData>
    <row r="1" spans="2:29" s="11" customFormat="1" ht="15.75" x14ac:dyDescent="0.2">
      <c r="B1" s="186" t="str">
        <f>Inhaltsverzeichnis!B20&amp;" "&amp;Inhaltsverzeichnis!C20&amp;" "&amp;Inhaltsverzeichnis!E20</f>
        <v>Tabelle 1: Entwicklung der Pflichtigenzahl und der durchschnittlichen Einkommen und Vermögen, 2001 – 2014</v>
      </c>
      <c r="C1" s="187"/>
      <c r="D1" s="187"/>
      <c r="E1" s="187"/>
      <c r="F1" s="187"/>
      <c r="G1" s="187"/>
      <c r="H1" s="187"/>
      <c r="I1" s="187"/>
      <c r="J1" s="187"/>
      <c r="K1" s="187"/>
      <c r="L1" s="187"/>
      <c r="M1" s="187"/>
      <c r="N1" s="187"/>
      <c r="O1" s="187"/>
      <c r="P1" s="187"/>
      <c r="Q1" s="187"/>
      <c r="R1" s="187"/>
      <c r="S1" s="73"/>
      <c r="T1" s="73"/>
      <c r="U1" s="73"/>
      <c r="V1" s="73"/>
      <c r="W1" s="73"/>
      <c r="X1" s="73"/>
      <c r="Y1" s="73"/>
      <c r="Z1" s="73"/>
      <c r="AA1" s="73"/>
      <c r="AB1" s="73"/>
      <c r="AC1" s="73"/>
    </row>
    <row r="3" spans="2:29" s="45" customFormat="1" ht="39.75" x14ac:dyDescent="0.2">
      <c r="B3" s="70" t="s">
        <v>4</v>
      </c>
      <c r="C3" s="181" t="s">
        <v>420</v>
      </c>
      <c r="D3" s="178" t="s">
        <v>533</v>
      </c>
      <c r="E3" s="178" t="s">
        <v>554</v>
      </c>
      <c r="F3" s="178" t="s">
        <v>657</v>
      </c>
      <c r="G3" s="178" t="s">
        <v>555</v>
      </c>
      <c r="H3" s="178" t="s">
        <v>556</v>
      </c>
      <c r="I3" s="78" t="s">
        <v>658</v>
      </c>
      <c r="J3" s="44"/>
      <c r="K3" s="43"/>
      <c r="L3" s="44"/>
      <c r="M3" s="43"/>
      <c r="N3" s="44"/>
      <c r="O3" s="43"/>
      <c r="P3" s="44"/>
      <c r="Q3" s="43"/>
      <c r="R3" s="44"/>
      <c r="S3" s="44"/>
      <c r="T3" s="43"/>
      <c r="U3" s="43"/>
      <c r="V3" s="44"/>
      <c r="W3" s="43"/>
      <c r="X3" s="44"/>
      <c r="Y3" s="43"/>
      <c r="Z3" s="44"/>
      <c r="AA3" s="43"/>
      <c r="AB3" s="44"/>
      <c r="AC3" s="43"/>
    </row>
    <row r="4" spans="2:29" s="7" customFormat="1" x14ac:dyDescent="0.2">
      <c r="B4" s="32">
        <v>2001</v>
      </c>
      <c r="C4" s="80">
        <v>297032.06849706284</v>
      </c>
      <c r="D4" s="80">
        <v>77904.820331863069</v>
      </c>
      <c r="E4" s="80">
        <v>59732.482998543899</v>
      </c>
      <c r="F4" s="80">
        <v>55699</v>
      </c>
      <c r="G4" s="80">
        <v>402358.89218121959</v>
      </c>
      <c r="H4" s="80">
        <v>255582.98782924673</v>
      </c>
      <c r="I4" s="80">
        <v>175296</v>
      </c>
      <c r="J4" s="22"/>
      <c r="K4" s="155"/>
      <c r="L4" s="155"/>
      <c r="M4" s="23"/>
      <c r="N4" s="22"/>
      <c r="O4" s="23"/>
      <c r="P4" s="22"/>
      <c r="Q4" s="23"/>
      <c r="R4" s="22"/>
      <c r="S4" s="22"/>
      <c r="T4" s="23"/>
      <c r="U4" s="23"/>
      <c r="V4" s="22"/>
      <c r="W4" s="23"/>
      <c r="X4" s="22"/>
      <c r="Y4" s="23"/>
      <c r="Z4" s="22"/>
      <c r="AA4" s="23"/>
      <c r="AB4" s="22"/>
      <c r="AC4" s="23"/>
    </row>
    <row r="5" spans="2:29" s="7" customFormat="1" x14ac:dyDescent="0.2">
      <c r="B5" s="131">
        <v>2002</v>
      </c>
      <c r="C5" s="80">
        <v>301610.59926758514</v>
      </c>
      <c r="D5" s="80">
        <v>78264.690382728382</v>
      </c>
      <c r="E5" s="80">
        <v>59867.893192700372</v>
      </c>
      <c r="F5" s="80">
        <v>55830.054206959299</v>
      </c>
      <c r="G5" s="80">
        <v>405574.43283881195</v>
      </c>
      <c r="H5" s="80">
        <v>251497.43086451487</v>
      </c>
      <c r="I5" s="80">
        <v>169180.94847107699</v>
      </c>
      <c r="J5" s="22"/>
      <c r="K5" s="155"/>
      <c r="L5" s="155"/>
      <c r="M5" s="23"/>
      <c r="N5" s="22"/>
      <c r="O5" s="23"/>
      <c r="P5" s="22"/>
      <c r="Q5" s="23"/>
      <c r="R5" s="22"/>
      <c r="S5" s="22"/>
      <c r="T5" s="23"/>
      <c r="U5" s="23"/>
      <c r="V5" s="22"/>
      <c r="W5" s="23"/>
      <c r="X5" s="22"/>
      <c r="Y5" s="23"/>
      <c r="Z5" s="22"/>
      <c r="AA5" s="23"/>
      <c r="AB5" s="22"/>
      <c r="AC5" s="23"/>
    </row>
    <row r="6" spans="2:29" s="7" customFormat="1" x14ac:dyDescent="0.2">
      <c r="B6" s="32">
        <v>2003</v>
      </c>
      <c r="C6" s="80">
        <v>306943.21937556728</v>
      </c>
      <c r="D6" s="80">
        <v>77246.708465684933</v>
      </c>
      <c r="E6" s="80">
        <v>59486.883103850181</v>
      </c>
      <c r="F6" s="80">
        <v>55702.0318396492</v>
      </c>
      <c r="G6" s="80">
        <v>413080.45625012746</v>
      </c>
      <c r="H6" s="80">
        <v>258315.21294021353</v>
      </c>
      <c r="I6" s="80">
        <v>175785.037810354</v>
      </c>
      <c r="J6" s="22"/>
      <c r="K6" s="155"/>
      <c r="L6" s="155"/>
      <c r="M6" s="23"/>
      <c r="N6" s="22"/>
      <c r="O6" s="23"/>
      <c r="P6" s="22"/>
      <c r="Q6" s="23"/>
      <c r="R6" s="22"/>
      <c r="S6" s="22"/>
      <c r="T6" s="23"/>
      <c r="U6" s="23"/>
      <c r="V6" s="22"/>
      <c r="W6" s="23"/>
      <c r="X6" s="22"/>
      <c r="Y6" s="23"/>
      <c r="Z6" s="22"/>
      <c r="AA6" s="23"/>
      <c r="AB6" s="22"/>
      <c r="AC6" s="23"/>
    </row>
    <row r="7" spans="2:29" s="7" customFormat="1" x14ac:dyDescent="0.2">
      <c r="B7" s="131">
        <v>2004</v>
      </c>
      <c r="C7" s="80">
        <v>311817.75535596634</v>
      </c>
      <c r="D7" s="80">
        <v>77585.6025638758</v>
      </c>
      <c r="E7" s="80">
        <v>59782.919855303167</v>
      </c>
      <c r="F7" s="80">
        <v>55836.043879245299</v>
      </c>
      <c r="G7" s="80">
        <v>415615.14591606858</v>
      </c>
      <c r="H7" s="80">
        <v>256020.01273532893</v>
      </c>
      <c r="I7" s="80">
        <v>174864.49531892501</v>
      </c>
      <c r="J7" s="22"/>
      <c r="K7" s="155"/>
      <c r="L7" s="155"/>
      <c r="M7" s="23"/>
      <c r="N7" s="22"/>
      <c r="O7" s="23"/>
      <c r="P7" s="22"/>
      <c r="Q7" s="23"/>
      <c r="R7" s="22"/>
      <c r="S7" s="22"/>
      <c r="T7" s="23"/>
      <c r="U7" s="23"/>
      <c r="V7" s="22"/>
      <c r="W7" s="23"/>
      <c r="X7" s="22"/>
      <c r="Y7" s="23"/>
      <c r="Z7" s="22"/>
      <c r="AA7" s="23"/>
      <c r="AB7" s="22"/>
      <c r="AC7" s="23"/>
    </row>
    <row r="8" spans="2:29" s="7" customFormat="1" x14ac:dyDescent="0.2">
      <c r="B8" s="131">
        <v>2005</v>
      </c>
      <c r="C8" s="80">
        <v>316348.41468274372</v>
      </c>
      <c r="D8" s="80">
        <v>78292.893947289602</v>
      </c>
      <c r="E8" s="80">
        <v>60166.260974741796</v>
      </c>
      <c r="F8" s="80">
        <v>56267.1598983656</v>
      </c>
      <c r="G8" s="80">
        <v>430021.92613572866</v>
      </c>
      <c r="H8" s="80">
        <v>265595.71798939706</v>
      </c>
      <c r="I8" s="80">
        <v>185136.90619524699</v>
      </c>
      <c r="J8" s="22"/>
      <c r="K8" s="155"/>
      <c r="L8" s="155"/>
      <c r="M8" s="23"/>
      <c r="N8" s="22"/>
      <c r="O8" s="23"/>
      <c r="P8" s="22"/>
      <c r="Q8" s="23"/>
      <c r="R8" s="22"/>
      <c r="S8" s="22"/>
      <c r="T8" s="23"/>
      <c r="U8" s="23"/>
      <c r="V8" s="22"/>
      <c r="W8" s="23"/>
      <c r="X8" s="22"/>
      <c r="Y8" s="23"/>
      <c r="Z8" s="22"/>
      <c r="AA8" s="23"/>
      <c r="AB8" s="22"/>
      <c r="AC8" s="23"/>
    </row>
    <row r="9" spans="2:29" s="7" customFormat="1" x14ac:dyDescent="0.2">
      <c r="B9" s="131">
        <v>2006</v>
      </c>
      <c r="C9" s="80">
        <v>320784.19152067928</v>
      </c>
      <c r="D9" s="80">
        <v>79212.829964522985</v>
      </c>
      <c r="E9" s="80">
        <v>60868.842813902687</v>
      </c>
      <c r="F9" s="80">
        <v>56995.856743199198</v>
      </c>
      <c r="G9" s="80">
        <v>439896.62650555727</v>
      </c>
      <c r="H9" s="80">
        <v>272426.18997195363</v>
      </c>
      <c r="I9" s="80">
        <v>192002.34981756299</v>
      </c>
      <c r="J9" s="22"/>
      <c r="K9" s="155"/>
      <c r="L9" s="155"/>
      <c r="M9" s="23"/>
      <c r="N9" s="22"/>
      <c r="O9" s="23"/>
      <c r="P9" s="22"/>
      <c r="Q9" s="23"/>
      <c r="R9" s="22"/>
      <c r="S9" s="22"/>
      <c r="T9" s="23"/>
      <c r="U9" s="23"/>
      <c r="V9" s="22"/>
      <c r="W9" s="23"/>
      <c r="X9" s="22"/>
      <c r="Y9" s="23"/>
      <c r="Z9" s="22"/>
      <c r="AA9" s="23"/>
      <c r="AB9" s="22"/>
      <c r="AC9" s="23"/>
    </row>
    <row r="10" spans="2:29" s="7" customFormat="1" x14ac:dyDescent="0.2">
      <c r="B10" s="131">
        <v>2007</v>
      </c>
      <c r="C10" s="27">
        <v>325545.75593777496</v>
      </c>
      <c r="D10" s="27">
        <v>82008.1419038202</v>
      </c>
      <c r="E10" s="27">
        <v>62822.324867249838</v>
      </c>
      <c r="F10" s="27">
        <v>57615.744600264799</v>
      </c>
      <c r="G10" s="27">
        <v>440766.88252729329</v>
      </c>
      <c r="H10" s="27">
        <v>272495.59435670223</v>
      </c>
      <c r="I10" s="27">
        <v>192292.41542893599</v>
      </c>
      <c r="J10" s="22"/>
      <c r="K10" s="155"/>
      <c r="L10" s="155"/>
      <c r="M10" s="23"/>
      <c r="N10" s="22"/>
      <c r="O10" s="23"/>
      <c r="P10" s="22"/>
      <c r="Q10" s="23"/>
      <c r="R10" s="22"/>
      <c r="S10" s="22"/>
      <c r="T10" s="23"/>
      <c r="U10" s="23"/>
      <c r="V10" s="22"/>
      <c r="W10" s="23"/>
      <c r="X10" s="22"/>
      <c r="Y10" s="23"/>
      <c r="Z10" s="22"/>
      <c r="AA10" s="23"/>
      <c r="AB10" s="22"/>
      <c r="AC10" s="23"/>
    </row>
    <row r="11" spans="2:29" s="7" customFormat="1" x14ac:dyDescent="0.2">
      <c r="B11" s="131">
        <v>2008</v>
      </c>
      <c r="C11" s="27">
        <v>330149.53394653084</v>
      </c>
      <c r="D11" s="27">
        <v>83622.227419884744</v>
      </c>
      <c r="E11" s="27">
        <v>64159.942126363298</v>
      </c>
      <c r="F11" s="27">
        <v>58965.912390061603</v>
      </c>
      <c r="G11" s="27">
        <v>418480.65585794917</v>
      </c>
      <c r="H11" s="27">
        <v>249272.32503367227</v>
      </c>
      <c r="I11" s="27">
        <v>170354.123500977</v>
      </c>
      <c r="J11" s="22"/>
      <c r="K11" s="155"/>
      <c r="L11" s="155"/>
      <c r="M11" s="23"/>
      <c r="N11" s="22"/>
      <c r="O11" s="23"/>
      <c r="P11" s="22"/>
      <c r="Q11" s="23"/>
      <c r="R11" s="22"/>
      <c r="S11" s="22"/>
      <c r="T11" s="23"/>
      <c r="U11" s="23"/>
      <c r="V11" s="22"/>
      <c r="W11" s="23"/>
      <c r="X11" s="22"/>
      <c r="Y11" s="23"/>
      <c r="Z11" s="22"/>
      <c r="AA11" s="23"/>
      <c r="AB11" s="22"/>
      <c r="AC11" s="23"/>
    </row>
    <row r="12" spans="2:29" x14ac:dyDescent="0.2">
      <c r="B12" s="131">
        <v>2009</v>
      </c>
      <c r="C12" s="80">
        <v>336011.33484663442</v>
      </c>
      <c r="D12" s="80">
        <v>83887.885735824864</v>
      </c>
      <c r="E12" s="80">
        <v>64694.232046851896</v>
      </c>
      <c r="F12" s="80">
        <v>59478.178155111797</v>
      </c>
      <c r="G12" s="80">
        <v>434806.03276253928</v>
      </c>
      <c r="H12" s="80">
        <v>260996.51402846767</v>
      </c>
      <c r="I12" s="80">
        <v>181660.17899005799</v>
      </c>
      <c r="K12" s="112"/>
      <c r="L12" s="119"/>
    </row>
    <row r="13" spans="2:29" s="129" customFormat="1" x14ac:dyDescent="0.2">
      <c r="B13" s="131">
        <v>2010</v>
      </c>
      <c r="C13" s="80">
        <v>342015.0956704634</v>
      </c>
      <c r="D13" s="80">
        <v>84176.777030159574</v>
      </c>
      <c r="E13" s="80">
        <v>65326.613197613144</v>
      </c>
      <c r="F13" s="80">
        <v>60029.943650430403</v>
      </c>
      <c r="G13" s="80">
        <v>437302.76812739845</v>
      </c>
      <c r="H13" s="80">
        <v>260786.28075843124</v>
      </c>
      <c r="I13" s="80">
        <v>180845.549821931</v>
      </c>
      <c r="K13" s="112"/>
      <c r="L13" s="119"/>
    </row>
    <row r="14" spans="2:29" x14ac:dyDescent="0.2">
      <c r="B14" s="131">
        <v>2011</v>
      </c>
      <c r="C14" s="27">
        <v>347401.98614643887</v>
      </c>
      <c r="D14" s="27">
        <v>85042.622665290546</v>
      </c>
      <c r="E14" s="27">
        <v>66308.577780022533</v>
      </c>
      <c r="F14" s="27">
        <v>61010.621394183901</v>
      </c>
      <c r="G14" s="27">
        <v>446426.61374578864</v>
      </c>
      <c r="H14" s="27">
        <v>265443.61957907653</v>
      </c>
      <c r="I14" s="27">
        <v>185424.68458577301</v>
      </c>
      <c r="K14" s="112"/>
      <c r="L14" s="119"/>
    </row>
    <row r="15" spans="2:29" s="153" customFormat="1" x14ac:dyDescent="0.2">
      <c r="B15" s="154">
        <v>2012</v>
      </c>
      <c r="C15" s="27">
        <v>353200.69544202962</v>
      </c>
      <c r="D15" s="27">
        <v>85327.664985322379</v>
      </c>
      <c r="E15" s="27">
        <v>66737.747882109878</v>
      </c>
      <c r="F15" s="27">
        <v>61469.441253211298</v>
      </c>
      <c r="G15" s="27">
        <v>461131.14600024099</v>
      </c>
      <c r="H15" s="27">
        <v>277894.91006491397</v>
      </c>
      <c r="I15" s="27">
        <v>197297.47018056299</v>
      </c>
      <c r="J15" s="159"/>
      <c r="K15" s="159"/>
      <c r="L15" s="119"/>
    </row>
    <row r="16" spans="2:29" s="190" customFormat="1" x14ac:dyDescent="0.2">
      <c r="B16" s="191">
        <v>2013</v>
      </c>
      <c r="C16" s="27">
        <v>358593.07773764897</v>
      </c>
      <c r="D16" s="27">
        <v>85464.787124492097</v>
      </c>
      <c r="E16" s="27">
        <v>67072.955468604196</v>
      </c>
      <c r="F16" s="27">
        <v>61834.868152404299</v>
      </c>
      <c r="G16" s="27">
        <v>470618.54986405501</v>
      </c>
      <c r="H16" s="27">
        <v>285923.25779312302</v>
      </c>
      <c r="I16" s="27">
        <v>205890.186376581</v>
      </c>
      <c r="J16" s="159"/>
      <c r="K16" s="159"/>
      <c r="L16" s="119"/>
    </row>
    <row r="17" spans="2:12" s="199" customFormat="1" x14ac:dyDescent="0.2">
      <c r="B17" s="201">
        <v>2014</v>
      </c>
      <c r="C17" s="27">
        <v>363922.78649999999</v>
      </c>
      <c r="D17" s="27">
        <v>85329.661970000001</v>
      </c>
      <c r="E17" s="27">
        <v>67029.508889999997</v>
      </c>
      <c r="F17" s="27">
        <v>61493.235249999998</v>
      </c>
      <c r="G17" s="27">
        <v>470957.62589999998</v>
      </c>
      <c r="H17" s="27">
        <v>285740.06579999998</v>
      </c>
      <c r="I17" s="27">
        <v>202535.94149999999</v>
      </c>
      <c r="J17" s="159"/>
      <c r="K17" s="159"/>
      <c r="L17" s="119"/>
    </row>
    <row r="18" spans="2:12" s="153" customFormat="1" x14ac:dyDescent="0.2">
      <c r="B18" s="192"/>
      <c r="C18" s="156"/>
      <c r="D18" s="156"/>
      <c r="E18" s="156"/>
      <c r="F18" s="156"/>
      <c r="G18" s="156"/>
      <c r="H18" s="156"/>
      <c r="I18" s="156"/>
      <c r="K18" s="112"/>
      <c r="L18" s="119"/>
    </row>
    <row r="19" spans="2:12" x14ac:dyDescent="0.2">
      <c r="B19" s="271" t="s">
        <v>29</v>
      </c>
      <c r="C19" s="272"/>
      <c r="D19" s="272"/>
      <c r="E19" s="272"/>
      <c r="F19" s="272"/>
      <c r="G19" s="272"/>
      <c r="H19" s="272"/>
      <c r="I19" s="273"/>
    </row>
    <row r="20" spans="2:12" x14ac:dyDescent="0.2">
      <c r="B20" s="32">
        <v>2001</v>
      </c>
      <c r="C20" s="34">
        <v>100</v>
      </c>
      <c r="D20" s="34">
        <v>100</v>
      </c>
      <c r="E20" s="34">
        <v>100</v>
      </c>
      <c r="F20" s="34">
        <v>100</v>
      </c>
      <c r="G20" s="34">
        <v>100</v>
      </c>
      <c r="H20" s="34">
        <v>100</v>
      </c>
      <c r="I20" s="34">
        <v>100</v>
      </c>
    </row>
    <row r="21" spans="2:12" s="129" customFormat="1" x14ac:dyDescent="0.2">
      <c r="B21" s="131">
        <v>2002</v>
      </c>
      <c r="C21" s="34">
        <f t="shared" ref="C21:C33" si="0">C5/$C$4*100</f>
        <v>101.54142641691483</v>
      </c>
      <c r="D21" s="34">
        <f t="shared" ref="D21:D33" si="1">D5/$D$4*100</f>
        <v>100.46193553791963</v>
      </c>
      <c r="E21" s="34">
        <f t="shared" ref="E21:E33" si="2">E5/$E$4*100</f>
        <v>100.22669440036466</v>
      </c>
      <c r="F21" s="81">
        <f t="shared" ref="F21:F33" si="3">F5/$F$4*100</f>
        <v>100.23529005360831</v>
      </c>
      <c r="G21" s="81">
        <f t="shared" ref="G21:G33" si="4">G5/$G$4*100</f>
        <v>100.79917226140091</v>
      </c>
      <c r="H21" s="81">
        <f t="shared" ref="H21:H33" si="5">H5/$H$4*100</f>
        <v>98.401475387923171</v>
      </c>
      <c r="I21" s="81">
        <f t="shared" ref="I21:I33" si="6">I5/$I$4*100</f>
        <v>96.511585245001015</v>
      </c>
    </row>
    <row r="22" spans="2:12" s="45" customFormat="1" x14ac:dyDescent="0.2">
      <c r="B22" s="131">
        <v>2003</v>
      </c>
      <c r="C22" s="34">
        <f t="shared" si="0"/>
        <v>103.33672755559809</v>
      </c>
      <c r="D22" s="34">
        <f t="shared" si="1"/>
        <v>99.15523601315725</v>
      </c>
      <c r="E22" s="34">
        <f t="shared" si="2"/>
        <v>99.588833608842776</v>
      </c>
      <c r="F22" s="81">
        <f t="shared" si="3"/>
        <v>100.0054432568793</v>
      </c>
      <c r="G22" s="81">
        <f t="shared" si="4"/>
        <v>102.66467680403071</v>
      </c>
      <c r="H22" s="81">
        <f t="shared" si="5"/>
        <v>101.06901681296262</v>
      </c>
      <c r="I22" s="81">
        <f t="shared" si="6"/>
        <v>100.27897830546846</v>
      </c>
    </row>
    <row r="23" spans="2:12" s="130" customFormat="1" x14ac:dyDescent="0.2">
      <c r="B23" s="131">
        <v>2004</v>
      </c>
      <c r="C23" s="34">
        <f t="shared" si="0"/>
        <v>104.97780826619727</v>
      </c>
      <c r="D23" s="34">
        <f t="shared" si="1"/>
        <v>99.590246448644066</v>
      </c>
      <c r="E23" s="34">
        <f t="shared" si="2"/>
        <v>100.08443790418104</v>
      </c>
      <c r="F23" s="81">
        <f t="shared" si="3"/>
        <v>100.24604369781377</v>
      </c>
      <c r="G23" s="81">
        <f t="shared" si="4"/>
        <v>103.29463421647918</v>
      </c>
      <c r="H23" s="81">
        <f t="shared" si="5"/>
        <v>100.17099139101316</v>
      </c>
      <c r="I23" s="81">
        <f t="shared" si="6"/>
        <v>99.753842254771925</v>
      </c>
    </row>
    <row r="24" spans="2:12" x14ac:dyDescent="0.2">
      <c r="B24" s="131">
        <v>2005</v>
      </c>
      <c r="C24" s="34">
        <f t="shared" si="0"/>
        <v>106.50311809206954</v>
      </c>
      <c r="D24" s="34">
        <f t="shared" si="1"/>
        <v>100.49813813031517</v>
      </c>
      <c r="E24" s="34">
        <f t="shared" si="2"/>
        <v>100.72620114621465</v>
      </c>
      <c r="F24" s="81">
        <f t="shared" si="3"/>
        <v>101.02005403753319</v>
      </c>
      <c r="G24" s="81">
        <f t="shared" si="4"/>
        <v>106.87521376861974</v>
      </c>
      <c r="H24" s="81">
        <f t="shared" si="5"/>
        <v>103.91760431521358</v>
      </c>
      <c r="I24" s="81">
        <f t="shared" si="6"/>
        <v>105.61387949254232</v>
      </c>
    </row>
    <row r="25" spans="2:12" s="129" customFormat="1" x14ac:dyDescent="0.2">
      <c r="B25" s="131">
        <v>2006</v>
      </c>
      <c r="C25" s="34">
        <f t="shared" si="0"/>
        <v>107.99648440109466</v>
      </c>
      <c r="D25" s="34">
        <f t="shared" si="1"/>
        <v>101.67898421058928</v>
      </c>
      <c r="E25" s="34">
        <f t="shared" si="2"/>
        <v>101.90241516560845</v>
      </c>
      <c r="F25" s="81">
        <f t="shared" si="3"/>
        <v>102.32833038869495</v>
      </c>
      <c r="G25" s="81">
        <f t="shared" si="4"/>
        <v>109.32941586573186</v>
      </c>
      <c r="H25" s="81">
        <f t="shared" si="5"/>
        <v>106.59011082300975</v>
      </c>
      <c r="I25" s="81">
        <f t="shared" si="6"/>
        <v>109.53036567723335</v>
      </c>
    </row>
    <row r="26" spans="2:12" x14ac:dyDescent="0.2">
      <c r="B26" s="131">
        <v>2007</v>
      </c>
      <c r="C26" s="34">
        <f t="shared" si="0"/>
        <v>109.59953165494456</v>
      </c>
      <c r="D26" s="34">
        <f t="shared" si="1"/>
        <v>105.26709586708189</v>
      </c>
      <c r="E26" s="34">
        <f t="shared" si="2"/>
        <v>105.17279998017371</v>
      </c>
      <c r="F26" s="81">
        <f t="shared" si="3"/>
        <v>103.44125496016947</v>
      </c>
      <c r="G26" s="81">
        <f t="shared" si="4"/>
        <v>109.54570436802351</v>
      </c>
      <c r="H26" s="81">
        <f t="shared" si="5"/>
        <v>106.61726614556784</v>
      </c>
      <c r="I26" s="81">
        <f t="shared" si="6"/>
        <v>109.69583757127144</v>
      </c>
    </row>
    <row r="27" spans="2:12" s="129" customFormat="1" x14ac:dyDescent="0.2">
      <c r="B27" s="131">
        <v>2008</v>
      </c>
      <c r="C27" s="34">
        <f t="shared" si="0"/>
        <v>111.14945790770585</v>
      </c>
      <c r="D27" s="34">
        <f t="shared" si="1"/>
        <v>107.33896447442707</v>
      </c>
      <c r="E27" s="34">
        <f t="shared" si="2"/>
        <v>107.41214646631603</v>
      </c>
      <c r="F27" s="81">
        <f t="shared" si="3"/>
        <v>105.86529810241045</v>
      </c>
      <c r="G27" s="81">
        <f t="shared" si="4"/>
        <v>104.00681182645977</v>
      </c>
      <c r="H27" s="81">
        <f t="shared" si="5"/>
        <v>97.530875255363014</v>
      </c>
      <c r="I27" s="81">
        <f t="shared" si="6"/>
        <v>97.180838981481045</v>
      </c>
    </row>
    <row r="28" spans="2:12" x14ac:dyDescent="0.2">
      <c r="B28" s="131">
        <v>2009</v>
      </c>
      <c r="C28" s="34">
        <f t="shared" si="0"/>
        <v>113.122915160912</v>
      </c>
      <c r="D28" s="34">
        <f t="shared" si="1"/>
        <v>107.67996816945961</v>
      </c>
      <c r="E28" s="34">
        <f t="shared" si="2"/>
        <v>108.30661777182267</v>
      </c>
      <c r="F28" s="81">
        <f t="shared" si="3"/>
        <v>106.78500180454191</v>
      </c>
      <c r="G28" s="81">
        <f t="shared" si="4"/>
        <v>108.06422853125505</v>
      </c>
      <c r="H28" s="81">
        <f t="shared" si="5"/>
        <v>102.11810897321448</v>
      </c>
      <c r="I28" s="81">
        <f t="shared" si="6"/>
        <v>103.63053292149165</v>
      </c>
    </row>
    <row r="29" spans="2:12" s="129" customFormat="1" x14ac:dyDescent="0.2">
      <c r="B29" s="131">
        <v>2010</v>
      </c>
      <c r="C29" s="34">
        <f t="shared" si="0"/>
        <v>115.14416520782009</v>
      </c>
      <c r="D29" s="34">
        <f t="shared" si="1"/>
        <v>108.05079412490639</v>
      </c>
      <c r="E29" s="34">
        <f t="shared" si="2"/>
        <v>109.36530664430208</v>
      </c>
      <c r="F29" s="81">
        <f t="shared" si="3"/>
        <v>107.77562191499021</v>
      </c>
      <c r="G29" s="81">
        <f t="shared" si="4"/>
        <v>108.68475299669539</v>
      </c>
      <c r="H29" s="81">
        <f t="shared" si="5"/>
        <v>102.0358526102922</v>
      </c>
      <c r="I29" s="81">
        <f t="shared" si="6"/>
        <v>103.16581657421217</v>
      </c>
    </row>
    <row r="30" spans="2:12" x14ac:dyDescent="0.2">
      <c r="B30" s="131">
        <v>2011</v>
      </c>
      <c r="C30" s="34">
        <f t="shared" si="0"/>
        <v>116.95773722488624</v>
      </c>
      <c r="D30" s="34">
        <f t="shared" si="1"/>
        <v>109.16220883768359</v>
      </c>
      <c r="E30" s="34">
        <f t="shared" si="2"/>
        <v>111.00924396804155</v>
      </c>
      <c r="F30" s="81">
        <f t="shared" si="3"/>
        <v>109.53629579379145</v>
      </c>
      <c r="G30" s="81">
        <f t="shared" si="4"/>
        <v>110.95234190691659</v>
      </c>
      <c r="H30" s="81">
        <f t="shared" si="5"/>
        <v>103.85809393402101</v>
      </c>
      <c r="I30" s="81">
        <f t="shared" si="6"/>
        <v>105.77804661017535</v>
      </c>
    </row>
    <row r="31" spans="2:12" s="153" customFormat="1" x14ac:dyDescent="0.2">
      <c r="B31" s="154">
        <v>2012</v>
      </c>
      <c r="C31" s="34">
        <f t="shared" si="0"/>
        <v>118.90995380706586</v>
      </c>
      <c r="D31" s="34">
        <f t="shared" si="1"/>
        <v>109.52809418189926</v>
      </c>
      <c r="E31" s="34">
        <f t="shared" si="2"/>
        <v>111.72773092947894</v>
      </c>
      <c r="F31" s="81">
        <f t="shared" si="3"/>
        <v>110.36004462057004</v>
      </c>
      <c r="G31" s="81">
        <f t="shared" si="4"/>
        <v>114.60692306324145</v>
      </c>
      <c r="H31" s="81">
        <f t="shared" si="5"/>
        <v>108.72981508869977</v>
      </c>
      <c r="I31" s="81">
        <f t="shared" si="6"/>
        <v>112.5510394878166</v>
      </c>
    </row>
    <row r="32" spans="2:12" s="190" customFormat="1" x14ac:dyDescent="0.2">
      <c r="B32" s="191">
        <v>2013</v>
      </c>
      <c r="C32" s="34">
        <f t="shared" si="0"/>
        <v>120.72537472202092</v>
      </c>
      <c r="D32" s="34">
        <f t="shared" si="1"/>
        <v>109.70410657572238</v>
      </c>
      <c r="E32" s="34">
        <f t="shared" si="2"/>
        <v>112.28891233307552</v>
      </c>
      <c r="F32" s="81">
        <f t="shared" si="3"/>
        <v>111.01611905492791</v>
      </c>
      <c r="G32" s="81">
        <f t="shared" si="4"/>
        <v>116.96486868049428</v>
      </c>
      <c r="H32" s="81">
        <f t="shared" si="5"/>
        <v>111.87100527369466</v>
      </c>
      <c r="I32" s="81">
        <f t="shared" si="6"/>
        <v>117.45287192895502</v>
      </c>
    </row>
    <row r="33" spans="2:20" s="199" customFormat="1" x14ac:dyDescent="0.2">
      <c r="B33" s="201">
        <v>2014</v>
      </c>
      <c r="C33" s="34">
        <f t="shared" si="0"/>
        <v>122.51969571548082</v>
      </c>
      <c r="D33" s="34">
        <f t="shared" si="1"/>
        <v>109.53065754661675</v>
      </c>
      <c r="E33" s="34">
        <f t="shared" si="2"/>
        <v>112.21617707007756</v>
      </c>
      <c r="F33" s="81">
        <f t="shared" si="3"/>
        <v>110.4027635146053</v>
      </c>
      <c r="G33" s="81">
        <f t="shared" si="4"/>
        <v>117.04914071785544</v>
      </c>
      <c r="H33" s="81">
        <f t="shared" si="5"/>
        <v>111.79932914427818</v>
      </c>
      <c r="I33" s="81">
        <f t="shared" si="6"/>
        <v>115.53939707694414</v>
      </c>
    </row>
    <row r="35" spans="2:20" x14ac:dyDescent="0.2">
      <c r="B35" s="82" t="s">
        <v>33</v>
      </c>
    </row>
    <row r="36" spans="2:20" x14ac:dyDescent="0.2">
      <c r="B36" s="82" t="s">
        <v>625</v>
      </c>
    </row>
    <row r="37" spans="2:20" s="175" customFormat="1" x14ac:dyDescent="0.2">
      <c r="B37" s="176" t="s">
        <v>557</v>
      </c>
    </row>
    <row r="38" spans="2:20" s="175" customFormat="1" x14ac:dyDescent="0.2">
      <c r="B38" s="176" t="s">
        <v>558</v>
      </c>
    </row>
    <row r="39" spans="2:20" x14ac:dyDescent="0.2">
      <c r="B39" s="82" t="s">
        <v>626</v>
      </c>
    </row>
    <row r="40" spans="2:20" x14ac:dyDescent="0.2">
      <c r="B40" s="176" t="s">
        <v>627</v>
      </c>
    </row>
    <row r="41" spans="2:20" s="175" customFormat="1" x14ac:dyDescent="0.2">
      <c r="B41" s="176" t="s">
        <v>559</v>
      </c>
    </row>
    <row r="45" spans="2:20" x14ac:dyDescent="0.2">
      <c r="P45" s="134"/>
    </row>
    <row r="47" spans="2:20" ht="22.5" x14ac:dyDescent="0.2">
      <c r="P47" s="150" t="s">
        <v>10</v>
      </c>
      <c r="Q47" s="151" t="s">
        <v>30</v>
      </c>
      <c r="R47" s="152" t="s">
        <v>31</v>
      </c>
      <c r="S47" s="151" t="s">
        <v>32</v>
      </c>
      <c r="T47" s="152" t="s">
        <v>466</v>
      </c>
    </row>
    <row r="48" spans="2:20" x14ac:dyDescent="0.2">
      <c r="O48" s="149">
        <v>2001</v>
      </c>
      <c r="P48" s="168">
        <f t="shared" ref="P48:P59" si="7">C20</f>
        <v>100</v>
      </c>
      <c r="Q48" s="168">
        <f t="shared" ref="Q48:Q59" si="8">E20</f>
        <v>100</v>
      </c>
      <c r="R48" s="168">
        <f t="shared" ref="R48:R59" si="9">F20</f>
        <v>100</v>
      </c>
      <c r="S48" s="168">
        <f t="shared" ref="S48:S59" si="10">H20</f>
        <v>100</v>
      </c>
      <c r="T48" s="168">
        <f t="shared" ref="T48:T59" si="11">I20</f>
        <v>100</v>
      </c>
    </row>
    <row r="49" spans="2:20" x14ac:dyDescent="0.2">
      <c r="O49" s="149">
        <v>2002</v>
      </c>
      <c r="P49" s="168">
        <f t="shared" si="7"/>
        <v>101.54142641691483</v>
      </c>
      <c r="Q49" s="168">
        <f t="shared" si="8"/>
        <v>100.22669440036466</v>
      </c>
      <c r="R49" s="168">
        <f t="shared" si="9"/>
        <v>100.23529005360831</v>
      </c>
      <c r="S49" s="168">
        <f t="shared" si="10"/>
        <v>98.401475387923171</v>
      </c>
      <c r="T49" s="168">
        <f t="shared" si="11"/>
        <v>96.511585245001015</v>
      </c>
    </row>
    <row r="50" spans="2:20" x14ac:dyDescent="0.2">
      <c r="O50" s="149">
        <v>2003</v>
      </c>
      <c r="P50" s="168">
        <f t="shared" si="7"/>
        <v>103.33672755559809</v>
      </c>
      <c r="Q50" s="168">
        <f t="shared" si="8"/>
        <v>99.588833608842776</v>
      </c>
      <c r="R50" s="168">
        <f t="shared" si="9"/>
        <v>100.0054432568793</v>
      </c>
      <c r="S50" s="168">
        <f t="shared" si="10"/>
        <v>101.06901681296262</v>
      </c>
      <c r="T50" s="168">
        <f t="shared" si="11"/>
        <v>100.27897830546846</v>
      </c>
    </row>
    <row r="51" spans="2:20" x14ac:dyDescent="0.2">
      <c r="O51" s="149">
        <v>2004</v>
      </c>
      <c r="P51" s="168">
        <f t="shared" si="7"/>
        <v>104.97780826619727</v>
      </c>
      <c r="Q51" s="168">
        <f t="shared" si="8"/>
        <v>100.08443790418104</v>
      </c>
      <c r="R51" s="168">
        <f t="shared" si="9"/>
        <v>100.24604369781377</v>
      </c>
      <c r="S51" s="168">
        <f t="shared" si="10"/>
        <v>100.17099139101316</v>
      </c>
      <c r="T51" s="168">
        <f t="shared" si="11"/>
        <v>99.753842254771925</v>
      </c>
    </row>
    <row r="52" spans="2:20" x14ac:dyDescent="0.2">
      <c r="O52" s="149">
        <v>2005</v>
      </c>
      <c r="P52" s="168">
        <f t="shared" si="7"/>
        <v>106.50311809206954</v>
      </c>
      <c r="Q52" s="168">
        <f t="shared" si="8"/>
        <v>100.72620114621465</v>
      </c>
      <c r="R52" s="168">
        <f t="shared" si="9"/>
        <v>101.02005403753319</v>
      </c>
      <c r="S52" s="168">
        <f t="shared" si="10"/>
        <v>103.91760431521358</v>
      </c>
      <c r="T52" s="168">
        <f t="shared" si="11"/>
        <v>105.61387949254232</v>
      </c>
    </row>
    <row r="53" spans="2:20" x14ac:dyDescent="0.2">
      <c r="O53" s="149">
        <v>2006</v>
      </c>
      <c r="P53" s="168">
        <f t="shared" si="7"/>
        <v>107.99648440109466</v>
      </c>
      <c r="Q53" s="168">
        <f t="shared" si="8"/>
        <v>101.90241516560845</v>
      </c>
      <c r="R53" s="168">
        <f t="shared" si="9"/>
        <v>102.32833038869495</v>
      </c>
      <c r="S53" s="168">
        <f t="shared" si="10"/>
        <v>106.59011082300975</v>
      </c>
      <c r="T53" s="168">
        <f t="shared" si="11"/>
        <v>109.53036567723335</v>
      </c>
    </row>
    <row r="54" spans="2:20" x14ac:dyDescent="0.2">
      <c r="O54" s="149">
        <v>2007</v>
      </c>
      <c r="P54" s="168">
        <f t="shared" si="7"/>
        <v>109.59953165494456</v>
      </c>
      <c r="Q54" s="168">
        <f t="shared" si="8"/>
        <v>105.17279998017371</v>
      </c>
      <c r="R54" s="168">
        <f t="shared" si="9"/>
        <v>103.44125496016947</v>
      </c>
      <c r="S54" s="168">
        <f t="shared" si="10"/>
        <v>106.61726614556784</v>
      </c>
      <c r="T54" s="168">
        <f t="shared" si="11"/>
        <v>109.69583757127144</v>
      </c>
    </row>
    <row r="55" spans="2:20" x14ac:dyDescent="0.2">
      <c r="O55" s="149">
        <v>2008</v>
      </c>
      <c r="P55" s="168">
        <f t="shared" si="7"/>
        <v>111.14945790770585</v>
      </c>
      <c r="Q55" s="168">
        <f t="shared" si="8"/>
        <v>107.41214646631603</v>
      </c>
      <c r="R55" s="168">
        <f t="shared" si="9"/>
        <v>105.86529810241045</v>
      </c>
      <c r="S55" s="168">
        <f t="shared" si="10"/>
        <v>97.530875255363014</v>
      </c>
      <c r="T55" s="168">
        <f t="shared" si="11"/>
        <v>97.180838981481045</v>
      </c>
    </row>
    <row r="56" spans="2:20" x14ac:dyDescent="0.2">
      <c r="O56" s="149">
        <v>2009</v>
      </c>
      <c r="P56" s="168">
        <f t="shared" si="7"/>
        <v>113.122915160912</v>
      </c>
      <c r="Q56" s="168">
        <f t="shared" si="8"/>
        <v>108.30661777182267</v>
      </c>
      <c r="R56" s="168">
        <f t="shared" si="9"/>
        <v>106.78500180454191</v>
      </c>
      <c r="S56" s="168">
        <f t="shared" si="10"/>
        <v>102.11810897321448</v>
      </c>
      <c r="T56" s="168">
        <f t="shared" si="11"/>
        <v>103.63053292149165</v>
      </c>
    </row>
    <row r="57" spans="2:20" x14ac:dyDescent="0.2">
      <c r="O57" s="149">
        <v>2010</v>
      </c>
      <c r="P57" s="168">
        <f t="shared" si="7"/>
        <v>115.14416520782009</v>
      </c>
      <c r="Q57" s="168">
        <f t="shared" si="8"/>
        <v>109.36530664430208</v>
      </c>
      <c r="R57" s="168">
        <f t="shared" si="9"/>
        <v>107.77562191499021</v>
      </c>
      <c r="S57" s="168">
        <f t="shared" si="10"/>
        <v>102.0358526102922</v>
      </c>
      <c r="T57" s="168">
        <f t="shared" si="11"/>
        <v>103.16581657421217</v>
      </c>
    </row>
    <row r="58" spans="2:20" x14ac:dyDescent="0.2">
      <c r="B58" s="8"/>
      <c r="C58" s="8"/>
      <c r="D58" s="8"/>
      <c r="E58" s="9"/>
      <c r="O58" s="149">
        <v>2011</v>
      </c>
      <c r="P58" s="168">
        <f t="shared" si="7"/>
        <v>116.95773722488624</v>
      </c>
      <c r="Q58" s="168">
        <f t="shared" si="8"/>
        <v>111.00924396804155</v>
      </c>
      <c r="R58" s="168">
        <f t="shared" si="9"/>
        <v>109.53629579379145</v>
      </c>
      <c r="S58" s="168">
        <f t="shared" si="10"/>
        <v>103.85809393402101</v>
      </c>
      <c r="T58" s="168">
        <f t="shared" si="11"/>
        <v>105.77804661017535</v>
      </c>
    </row>
    <row r="59" spans="2:20" x14ac:dyDescent="0.2">
      <c r="O59" s="149">
        <v>2012</v>
      </c>
      <c r="P59" s="168">
        <f t="shared" si="7"/>
        <v>118.90995380706586</v>
      </c>
      <c r="Q59" s="168">
        <f t="shared" si="8"/>
        <v>111.72773092947894</v>
      </c>
      <c r="R59" s="168">
        <f t="shared" si="9"/>
        <v>110.36004462057004</v>
      </c>
      <c r="S59" s="168">
        <f t="shared" si="10"/>
        <v>108.72981508869977</v>
      </c>
      <c r="T59" s="168">
        <f t="shared" si="11"/>
        <v>112.5510394878166</v>
      </c>
    </row>
    <row r="60" spans="2:20" x14ac:dyDescent="0.2">
      <c r="O60" s="149">
        <v>2013</v>
      </c>
      <c r="P60" s="168">
        <f t="shared" ref="P60" si="12">C32</f>
        <v>120.72537472202092</v>
      </c>
      <c r="Q60" s="168">
        <f t="shared" ref="Q60" si="13">E32</f>
        <v>112.28891233307552</v>
      </c>
      <c r="R60" s="168">
        <f t="shared" ref="R60" si="14">F32</f>
        <v>111.01611905492791</v>
      </c>
      <c r="S60" s="168">
        <f t="shared" ref="S60" si="15">H32</f>
        <v>111.87100527369466</v>
      </c>
      <c r="T60" s="168">
        <f t="shared" ref="T60" si="16">I32</f>
        <v>117.45287192895502</v>
      </c>
    </row>
    <row r="61" spans="2:20" x14ac:dyDescent="0.2">
      <c r="O61" s="149">
        <v>2014</v>
      </c>
      <c r="P61" s="168">
        <v>122.51969571548082</v>
      </c>
      <c r="Q61" s="168">
        <v>112.21617707007756</v>
      </c>
      <c r="R61" s="168">
        <v>110.4027635146053</v>
      </c>
      <c r="S61" s="168">
        <v>111.79932914427818</v>
      </c>
      <c r="T61" s="168">
        <v>115.53939707694414</v>
      </c>
    </row>
  </sheetData>
  <mergeCells count="1">
    <mergeCell ref="B19:I19"/>
  </mergeCells>
  <phoneticPr fontId="5" type="noConversion"/>
  <pageMargins left="0.78740157480314965" right="0.78740157480314965" top="0.98425196850393704" bottom="0.98425196850393704" header="0.51181102362204722" footer="0.51181102362204722"/>
  <pageSetup paperSize="9" scale="49" orientation="landscape" r:id="rId1"/>
  <headerFooter alignWithMargins="0"/>
  <rowBreaks count="1" manualBreakCount="1">
    <brk id="34" max="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20"/>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44" customWidth="1"/>
    <col min="2" max="2" width="16.28515625" style="144" customWidth="1"/>
    <col min="3" max="14" width="10.7109375" style="144" customWidth="1"/>
    <col min="15" max="15" width="11.42578125" style="144"/>
    <col min="16" max="16" width="12" style="144" bestFit="1" customWidth="1"/>
    <col min="17" max="16384" width="11.42578125" style="144"/>
  </cols>
  <sheetData>
    <row r="1" spans="2:32" s="11" customFormat="1" ht="15.75" x14ac:dyDescent="0.2">
      <c r="B1" s="186" t="str">
        <f>Inhaltsverzeichnis!B43&amp;" "&amp;Inhaltsverzeichnis!C43&amp;" "&amp;Inhaltsverzeichnis!E43</f>
        <v>Tabelle  15a: Verteilung der Pflichtigen (unter 65 Jahren) und des Reineinkommens nach Verdienerzahl und Stufen des Reineinkommens, 2014</v>
      </c>
      <c r="C1" s="187"/>
      <c r="D1" s="187"/>
      <c r="E1" s="187"/>
      <c r="F1" s="187"/>
      <c r="G1" s="187"/>
      <c r="H1" s="187"/>
      <c r="I1" s="187"/>
      <c r="J1" s="187"/>
      <c r="K1" s="187"/>
      <c r="L1" s="187"/>
      <c r="M1" s="187"/>
      <c r="N1" s="187"/>
      <c r="O1" s="187"/>
      <c r="P1" s="187"/>
      <c r="Q1" s="187"/>
      <c r="R1" s="187"/>
      <c r="S1" s="187"/>
      <c r="T1" s="143"/>
      <c r="U1" s="143"/>
      <c r="V1" s="143"/>
      <c r="W1" s="143"/>
      <c r="X1" s="143"/>
      <c r="Y1" s="143"/>
      <c r="Z1" s="143"/>
      <c r="AA1" s="143"/>
      <c r="AB1" s="143"/>
      <c r="AC1" s="143"/>
      <c r="AD1" s="143"/>
      <c r="AE1" s="143"/>
      <c r="AF1" s="143"/>
    </row>
    <row r="3" spans="2:32" x14ac:dyDescent="0.2">
      <c r="B3" s="284" t="s">
        <v>539</v>
      </c>
      <c r="C3" s="329" t="s">
        <v>106</v>
      </c>
      <c r="D3" s="330"/>
      <c r="E3" s="311" t="s">
        <v>502</v>
      </c>
      <c r="F3" s="320"/>
      <c r="G3" s="320"/>
      <c r="H3" s="319"/>
      <c r="I3" s="311" t="s">
        <v>503</v>
      </c>
      <c r="J3" s="320"/>
      <c r="K3" s="320"/>
      <c r="L3" s="319"/>
      <c r="M3" s="329" t="s">
        <v>0</v>
      </c>
      <c r="N3" s="330"/>
    </row>
    <row r="4" spans="2:32" s="145" customFormat="1" ht="27" customHeight="1" x14ac:dyDescent="0.2">
      <c r="B4" s="314"/>
      <c r="C4" s="331"/>
      <c r="D4" s="332"/>
      <c r="E4" s="326" t="s">
        <v>95</v>
      </c>
      <c r="F4" s="323"/>
      <c r="G4" s="326" t="s">
        <v>96</v>
      </c>
      <c r="H4" s="323"/>
      <c r="I4" s="326" t="s">
        <v>95</v>
      </c>
      <c r="J4" s="323"/>
      <c r="K4" s="326" t="s">
        <v>96</v>
      </c>
      <c r="L4" s="323"/>
      <c r="M4" s="331"/>
      <c r="N4" s="332"/>
    </row>
    <row r="5" spans="2:32" ht="25.5" x14ac:dyDescent="0.2">
      <c r="B5" s="305"/>
      <c r="C5" s="171" t="s">
        <v>420</v>
      </c>
      <c r="D5" s="179" t="s">
        <v>500</v>
      </c>
      <c r="E5" s="171" t="s">
        <v>420</v>
      </c>
      <c r="F5" s="179" t="s">
        <v>500</v>
      </c>
      <c r="G5" s="171" t="s">
        <v>420</v>
      </c>
      <c r="H5" s="179" t="s">
        <v>500</v>
      </c>
      <c r="I5" s="171" t="s">
        <v>420</v>
      </c>
      <c r="J5" s="179" t="s">
        <v>500</v>
      </c>
      <c r="K5" s="171" t="s">
        <v>420</v>
      </c>
      <c r="L5" s="179" t="s">
        <v>500</v>
      </c>
      <c r="M5" s="171" t="s">
        <v>420</v>
      </c>
      <c r="N5" s="179" t="s">
        <v>500</v>
      </c>
    </row>
    <row r="6" spans="2:32" x14ac:dyDescent="0.2">
      <c r="B6" s="25">
        <v>0</v>
      </c>
      <c r="C6" s="27">
        <v>12500.199173952</v>
      </c>
      <c r="D6" s="33">
        <v>0</v>
      </c>
      <c r="E6" s="27">
        <v>240.770033563</v>
      </c>
      <c r="F6" s="33">
        <v>0</v>
      </c>
      <c r="G6" s="27">
        <v>198.57181653500001</v>
      </c>
      <c r="H6" s="33">
        <v>0</v>
      </c>
      <c r="I6" s="27">
        <v>137.15540479000001</v>
      </c>
      <c r="J6" s="33">
        <v>0</v>
      </c>
      <c r="K6" s="27">
        <v>166.14253708000001</v>
      </c>
      <c r="L6" s="27">
        <v>0</v>
      </c>
      <c r="M6" s="27">
        <f>C6+E6+G6+I6+K6</f>
        <v>13242.838965920002</v>
      </c>
      <c r="N6" s="27">
        <f>D6+F6+H6+J6+L6</f>
        <v>0</v>
      </c>
      <c r="P6" s="246"/>
    </row>
    <row r="7" spans="2:32" x14ac:dyDescent="0.2">
      <c r="B7" s="25" t="s">
        <v>38</v>
      </c>
      <c r="C7" s="27">
        <v>19023.780494308001</v>
      </c>
      <c r="D7" s="33">
        <v>92646.130758326995</v>
      </c>
      <c r="E7" s="27">
        <v>210.94748429399999</v>
      </c>
      <c r="F7" s="33">
        <v>1184.8915951409999</v>
      </c>
      <c r="G7" s="27">
        <v>120.34801556799999</v>
      </c>
      <c r="H7" s="33">
        <v>587.95423094199998</v>
      </c>
      <c r="I7" s="27">
        <v>126.05404768</v>
      </c>
      <c r="J7" s="33">
        <v>676.62673537299997</v>
      </c>
      <c r="K7" s="27">
        <v>95.599824454</v>
      </c>
      <c r="L7" s="27">
        <v>582.38953046899996</v>
      </c>
      <c r="M7" s="27">
        <f t="shared" ref="M7:M17" si="0">C7+E7+G7+I7+K7</f>
        <v>19576.729866304002</v>
      </c>
      <c r="N7" s="27">
        <f t="shared" ref="N7:N17" si="1">D7+F7+H7+J7+L7</f>
        <v>95677.992850251991</v>
      </c>
      <c r="P7" s="246"/>
    </row>
    <row r="8" spans="2:32" x14ac:dyDescent="0.2">
      <c r="B8" s="25" t="s">
        <v>39</v>
      </c>
      <c r="C8" s="27">
        <v>14506.406782725</v>
      </c>
      <c r="D8" s="33">
        <v>219895.941183886</v>
      </c>
      <c r="E8" s="27">
        <v>331.70735526999999</v>
      </c>
      <c r="F8" s="33">
        <v>5040.636331187</v>
      </c>
      <c r="G8" s="27">
        <v>135.407394649</v>
      </c>
      <c r="H8" s="33">
        <v>2042.8867592649999</v>
      </c>
      <c r="I8" s="27">
        <v>169.126073991</v>
      </c>
      <c r="J8" s="33">
        <v>2675.998925586</v>
      </c>
      <c r="K8" s="27">
        <v>147.739060921</v>
      </c>
      <c r="L8" s="27">
        <v>2283.405413215</v>
      </c>
      <c r="M8" s="27">
        <f t="shared" si="0"/>
        <v>15290.386667556</v>
      </c>
      <c r="N8" s="27">
        <f t="shared" si="1"/>
        <v>231938.868613139</v>
      </c>
      <c r="P8" s="246"/>
    </row>
    <row r="9" spans="2:32" x14ac:dyDescent="0.2">
      <c r="B9" s="25" t="s">
        <v>40</v>
      </c>
      <c r="C9" s="27">
        <v>16404.364753242</v>
      </c>
      <c r="D9" s="33">
        <v>410954.08358342003</v>
      </c>
      <c r="E9" s="27">
        <v>401.98790473499997</v>
      </c>
      <c r="F9" s="33">
        <v>10092.260359116999</v>
      </c>
      <c r="G9" s="27">
        <v>227.38201624300001</v>
      </c>
      <c r="H9" s="33">
        <v>5724.6904849040002</v>
      </c>
      <c r="I9" s="27">
        <v>348.66178366100002</v>
      </c>
      <c r="J9" s="33">
        <v>8898.8433550410009</v>
      </c>
      <c r="K9" s="27">
        <v>225.92588773099999</v>
      </c>
      <c r="L9" s="27">
        <v>5730.2270667040002</v>
      </c>
      <c r="M9" s="27">
        <f t="shared" si="0"/>
        <v>17608.322345611996</v>
      </c>
      <c r="N9" s="27">
        <f t="shared" si="1"/>
        <v>441400.10484918603</v>
      </c>
      <c r="P9" s="246"/>
    </row>
    <row r="10" spans="2:32" x14ac:dyDescent="0.2">
      <c r="B10" s="25" t="s">
        <v>41</v>
      </c>
      <c r="C10" s="27">
        <v>51881.391640399997</v>
      </c>
      <c r="D10" s="33">
        <v>2118914.0481521301</v>
      </c>
      <c r="E10" s="27">
        <v>1624.7371151729999</v>
      </c>
      <c r="F10" s="33">
        <v>67374.856333043004</v>
      </c>
      <c r="G10" s="27">
        <v>1301.3676042049999</v>
      </c>
      <c r="H10" s="33">
        <v>55727.240601849</v>
      </c>
      <c r="I10" s="27">
        <v>1613.420573758</v>
      </c>
      <c r="J10" s="33">
        <v>67405.468636770995</v>
      </c>
      <c r="K10" s="27">
        <v>1462.698697673</v>
      </c>
      <c r="L10" s="27">
        <v>61979.963480548002</v>
      </c>
      <c r="M10" s="27">
        <f t="shared" si="0"/>
        <v>57883.615631208988</v>
      </c>
      <c r="N10" s="27">
        <f t="shared" si="1"/>
        <v>2371401.5772043411</v>
      </c>
      <c r="P10" s="246"/>
    </row>
    <row r="11" spans="2:32" x14ac:dyDescent="0.2">
      <c r="B11" s="25" t="s">
        <v>42</v>
      </c>
      <c r="C11" s="27">
        <v>46843.517055598997</v>
      </c>
      <c r="D11" s="33">
        <v>2828505.6883129799</v>
      </c>
      <c r="E11" s="27">
        <v>2838.1043481199999</v>
      </c>
      <c r="F11" s="33">
        <v>176188.02670255999</v>
      </c>
      <c r="G11" s="27">
        <v>3821.066725653</v>
      </c>
      <c r="H11" s="33">
        <v>239043.54645266099</v>
      </c>
      <c r="I11" s="27">
        <v>5517.4349915789999</v>
      </c>
      <c r="J11" s="33">
        <v>355246.94684407802</v>
      </c>
      <c r="K11" s="27">
        <v>8440.1348968469993</v>
      </c>
      <c r="L11" s="27">
        <v>548089.31280991796</v>
      </c>
      <c r="M11" s="27">
        <f t="shared" si="0"/>
        <v>67460.258017797998</v>
      </c>
      <c r="N11" s="27">
        <f t="shared" si="1"/>
        <v>4147073.5211221972</v>
      </c>
      <c r="P11" s="246"/>
    </row>
    <row r="12" spans="2:32" x14ac:dyDescent="0.2">
      <c r="B12" s="25" t="s">
        <v>43</v>
      </c>
      <c r="C12" s="27">
        <v>15076.497620373</v>
      </c>
      <c r="D12" s="33">
        <v>1285448.0297602499</v>
      </c>
      <c r="E12" s="27">
        <v>2018.052236905</v>
      </c>
      <c r="F12" s="33">
        <v>173857.94039867699</v>
      </c>
      <c r="G12" s="27">
        <v>2887.7381213009999</v>
      </c>
      <c r="H12" s="33">
        <v>251587.87476865901</v>
      </c>
      <c r="I12" s="27">
        <v>8666.1378471560001</v>
      </c>
      <c r="J12" s="33">
        <v>757299.51445392799</v>
      </c>
      <c r="K12" s="27">
        <v>14184.491285835</v>
      </c>
      <c r="L12" s="27">
        <v>1237904.7638141999</v>
      </c>
      <c r="M12" s="27">
        <f t="shared" si="0"/>
        <v>42832.917111570001</v>
      </c>
      <c r="N12" s="27">
        <f t="shared" si="1"/>
        <v>3706098.1231957134</v>
      </c>
      <c r="P12" s="246"/>
    </row>
    <row r="13" spans="2:32" x14ac:dyDescent="0.2">
      <c r="B13" s="25" t="s">
        <v>44</v>
      </c>
      <c r="C13" s="27">
        <v>7015.2808668449998</v>
      </c>
      <c r="D13" s="33">
        <v>820881.13241734495</v>
      </c>
      <c r="E13" s="27">
        <v>1461.289642917</v>
      </c>
      <c r="F13" s="33">
        <v>174216.13756031299</v>
      </c>
      <c r="G13" s="27">
        <v>2843.2913332580001</v>
      </c>
      <c r="H13" s="33">
        <v>340310.83493894601</v>
      </c>
      <c r="I13" s="27">
        <v>9495.8598723180003</v>
      </c>
      <c r="J13" s="33">
        <v>1142128.4354856</v>
      </c>
      <c r="K13" s="27">
        <v>14732.458718549</v>
      </c>
      <c r="L13" s="27">
        <v>1768482.9979229299</v>
      </c>
      <c r="M13" s="27">
        <f t="shared" si="0"/>
        <v>35548.180433886999</v>
      </c>
      <c r="N13" s="27">
        <f t="shared" si="1"/>
        <v>4246019.5383251337</v>
      </c>
      <c r="P13" s="246"/>
    </row>
    <row r="14" spans="2:32" x14ac:dyDescent="0.2">
      <c r="B14" s="25" t="s">
        <v>45</v>
      </c>
      <c r="C14" s="27">
        <v>1847.5286624769999</v>
      </c>
      <c r="D14" s="33">
        <v>339430.99077940802</v>
      </c>
      <c r="E14" s="27">
        <v>523.52381570700004</v>
      </c>
      <c r="F14" s="33">
        <v>96807.886996037007</v>
      </c>
      <c r="G14" s="27">
        <v>1088.8674787980001</v>
      </c>
      <c r="H14" s="33">
        <v>200720.220075233</v>
      </c>
      <c r="I14" s="27">
        <v>3627.2251033140001</v>
      </c>
      <c r="J14" s="33">
        <v>662680.57656545797</v>
      </c>
      <c r="K14" s="27">
        <v>6055.8579799319996</v>
      </c>
      <c r="L14" s="27">
        <v>1109838.8368289</v>
      </c>
      <c r="M14" s="27">
        <f t="shared" si="0"/>
        <v>13143.003040227999</v>
      </c>
      <c r="N14" s="27">
        <f t="shared" si="1"/>
        <v>2409478.511245036</v>
      </c>
      <c r="P14" s="246"/>
    </row>
    <row r="15" spans="2:32" x14ac:dyDescent="0.2">
      <c r="B15" s="25" t="s">
        <v>46</v>
      </c>
      <c r="C15" s="27">
        <v>536.04674723300002</v>
      </c>
      <c r="D15" s="33">
        <v>173865.919031914</v>
      </c>
      <c r="E15" s="27">
        <v>170.967692462</v>
      </c>
      <c r="F15" s="33">
        <v>55774.503855937</v>
      </c>
      <c r="G15" s="27">
        <v>367.36006901399998</v>
      </c>
      <c r="H15" s="33">
        <v>121735.66464029699</v>
      </c>
      <c r="I15" s="27">
        <v>792.80261885000004</v>
      </c>
      <c r="J15" s="33">
        <v>254973.280849339</v>
      </c>
      <c r="K15" s="27">
        <v>1552.0166767119999</v>
      </c>
      <c r="L15" s="27">
        <v>504872.009158195</v>
      </c>
      <c r="M15" s="27">
        <f t="shared" si="0"/>
        <v>3419.1938042709999</v>
      </c>
      <c r="N15" s="27">
        <f t="shared" si="1"/>
        <v>1111221.3775356822</v>
      </c>
      <c r="P15" s="246"/>
    </row>
    <row r="16" spans="2:32" x14ac:dyDescent="0.2">
      <c r="B16" s="25" t="s">
        <v>47</v>
      </c>
      <c r="C16" s="27">
        <v>87.524952967999994</v>
      </c>
      <c r="D16" s="33">
        <v>57797.444671796002</v>
      </c>
      <c r="E16" s="27">
        <v>34.003875639999997</v>
      </c>
      <c r="F16" s="33">
        <v>22188.588097475</v>
      </c>
      <c r="G16" s="27">
        <v>79.797336754</v>
      </c>
      <c r="H16" s="33">
        <v>52256.498413506997</v>
      </c>
      <c r="I16" s="27">
        <v>128.78894875700001</v>
      </c>
      <c r="J16" s="33">
        <v>81746.776935247995</v>
      </c>
      <c r="K16" s="27">
        <v>276.39899538499998</v>
      </c>
      <c r="L16" s="27">
        <v>177649.374110659</v>
      </c>
      <c r="M16" s="27">
        <f t="shared" si="0"/>
        <v>606.51410950399998</v>
      </c>
      <c r="N16" s="27">
        <f t="shared" si="1"/>
        <v>391638.68222868501</v>
      </c>
      <c r="P16" s="246"/>
    </row>
    <row r="17" spans="2:16" x14ac:dyDescent="0.2">
      <c r="B17" s="26" t="s">
        <v>48</v>
      </c>
      <c r="C17" s="27">
        <v>30.004351139000001</v>
      </c>
      <c r="D17" s="33">
        <v>67481.447969916</v>
      </c>
      <c r="E17" s="27">
        <v>11.860567464000001</v>
      </c>
      <c r="F17" s="33">
        <v>52345.488476915001</v>
      </c>
      <c r="G17" s="27">
        <v>36.739506726999998</v>
      </c>
      <c r="H17" s="33">
        <v>88312.065462215993</v>
      </c>
      <c r="I17" s="27">
        <v>32.153117549000001</v>
      </c>
      <c r="J17" s="33">
        <v>62222.029807760999</v>
      </c>
      <c r="K17" s="27">
        <v>55.718950649</v>
      </c>
      <c r="L17" s="27">
        <v>91176.310077877002</v>
      </c>
      <c r="M17" s="27">
        <f t="shared" si="0"/>
        <v>166.47649352799999</v>
      </c>
      <c r="N17" s="27">
        <f t="shared" si="1"/>
        <v>361537.34179468505</v>
      </c>
      <c r="P17" s="246"/>
    </row>
    <row r="18" spans="2:16" x14ac:dyDescent="0.2">
      <c r="B18" s="10" t="s">
        <v>0</v>
      </c>
      <c r="C18" s="90">
        <f t="shared" ref="C18:N18" si="2">SUM(C6:C17)</f>
        <v>185752.54310126099</v>
      </c>
      <c r="D18" s="31">
        <f t="shared" si="2"/>
        <v>8415820.8566213716</v>
      </c>
      <c r="E18" s="90">
        <f t="shared" si="2"/>
        <v>9867.9520722500001</v>
      </c>
      <c r="F18" s="31">
        <f t="shared" si="2"/>
        <v>835071.21670640202</v>
      </c>
      <c r="G18" s="90">
        <f t="shared" si="2"/>
        <v>13107.937418704998</v>
      </c>
      <c r="H18" s="31">
        <f t="shared" si="2"/>
        <v>1358049.4768284787</v>
      </c>
      <c r="I18" s="90">
        <f t="shared" si="2"/>
        <v>30654.820383402999</v>
      </c>
      <c r="J18" s="31">
        <f t="shared" si="2"/>
        <v>3395954.498594183</v>
      </c>
      <c r="K18" s="90">
        <f t="shared" si="2"/>
        <v>47395.183511768009</v>
      </c>
      <c r="L18" s="31">
        <f t="shared" si="2"/>
        <v>5508589.5902136145</v>
      </c>
      <c r="M18" s="90">
        <f t="shared" si="2"/>
        <v>286778.43648738699</v>
      </c>
      <c r="N18" s="31">
        <f t="shared" si="2"/>
        <v>19513485.63896405</v>
      </c>
      <c r="P18" s="246"/>
    </row>
    <row r="20" spans="2:16" x14ac:dyDescent="0.2">
      <c r="B20" s="300" t="s">
        <v>551</v>
      </c>
      <c r="C20" s="292"/>
      <c r="D20" s="292"/>
      <c r="E20" s="292"/>
      <c r="F20" s="292"/>
      <c r="G20" s="292"/>
      <c r="H20" s="292"/>
      <c r="I20" s="292"/>
      <c r="J20" s="292"/>
      <c r="K20" s="292"/>
      <c r="L20" s="292"/>
      <c r="M20" s="292"/>
      <c r="N20" s="292"/>
    </row>
  </sheetData>
  <mergeCells count="10">
    <mergeCell ref="B20:N20"/>
    <mergeCell ref="B3:B5"/>
    <mergeCell ref="E4:F4"/>
    <mergeCell ref="G4:H4"/>
    <mergeCell ref="I4:J4"/>
    <mergeCell ref="K4:L4"/>
    <mergeCell ref="M3:N4"/>
    <mergeCell ref="E3:H3"/>
    <mergeCell ref="I3:L3"/>
    <mergeCell ref="C3:D4"/>
  </mergeCells>
  <pageMargins left="0.78740157480314965" right="0.78740157480314965" top="0.98425196850393704" bottom="0.98425196850393704" header="0.51181102362204722" footer="0.51181102362204722"/>
  <pageSetup paperSize="9" scale="83"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F19"/>
  <sheetViews>
    <sheetView view="pageBreakPreview" zoomScaleNormal="100" zoomScaleSheetLayoutView="100" zoomScalePageLayoutView="70" workbookViewId="0">
      <selection activeCell="O24" sqref="O24"/>
    </sheetView>
  </sheetViews>
  <sheetFormatPr baseColWidth="10" defaultRowHeight="12.75" x14ac:dyDescent="0.2"/>
  <cols>
    <col min="1" max="1" width="2" style="144" customWidth="1"/>
    <col min="2" max="2" width="16.28515625" style="144" customWidth="1"/>
    <col min="3" max="14" width="10.7109375" style="144" customWidth="1"/>
    <col min="15" max="16384" width="11.42578125" style="144"/>
  </cols>
  <sheetData>
    <row r="1" spans="2:32" s="11" customFormat="1" ht="15.75" x14ac:dyDescent="0.2">
      <c r="B1" s="186" t="str">
        <f>Inhaltsverzeichnis!B44&amp;" "&amp;Inhaltsverzeichnis!C44&amp;" "&amp;Inhaltsverzeichnis!E44</f>
        <v>Tabelle  15b: Verteilung der Pflichtigen (unter 65 Jahren) und des Reinvermögens nach Verdienerzahl und Stufen des Reinvermögens, 2014</v>
      </c>
      <c r="C1" s="187"/>
      <c r="D1" s="187"/>
      <c r="E1" s="187"/>
      <c r="F1" s="187"/>
      <c r="G1" s="187"/>
      <c r="H1" s="187"/>
      <c r="I1" s="187"/>
      <c r="J1" s="187"/>
      <c r="K1" s="187"/>
      <c r="L1" s="187"/>
      <c r="M1" s="187"/>
      <c r="N1" s="187"/>
      <c r="O1" s="187"/>
      <c r="P1" s="187"/>
      <c r="Q1" s="187"/>
      <c r="R1" s="187"/>
      <c r="S1" s="187"/>
      <c r="T1" s="143"/>
      <c r="U1" s="143"/>
      <c r="V1" s="143"/>
      <c r="W1" s="143"/>
      <c r="X1" s="143"/>
      <c r="Y1" s="143"/>
      <c r="Z1" s="143"/>
      <c r="AA1" s="143"/>
      <c r="AB1" s="143"/>
      <c r="AC1" s="143"/>
      <c r="AD1" s="143"/>
      <c r="AE1" s="143"/>
      <c r="AF1" s="143"/>
    </row>
    <row r="3" spans="2:32" ht="12.75" customHeight="1" x14ac:dyDescent="0.2">
      <c r="B3" s="284" t="s">
        <v>537</v>
      </c>
      <c r="C3" s="329" t="s">
        <v>106</v>
      </c>
      <c r="D3" s="330"/>
      <c r="E3" s="311" t="s">
        <v>502</v>
      </c>
      <c r="F3" s="320"/>
      <c r="G3" s="320"/>
      <c r="H3" s="319"/>
      <c r="I3" s="311" t="s">
        <v>503</v>
      </c>
      <c r="J3" s="320"/>
      <c r="K3" s="320"/>
      <c r="L3" s="319"/>
      <c r="M3" s="329" t="s">
        <v>0</v>
      </c>
      <c r="N3" s="330"/>
    </row>
    <row r="4" spans="2:32" s="145" customFormat="1" ht="27" customHeight="1" x14ac:dyDescent="0.2">
      <c r="B4" s="314"/>
      <c r="C4" s="331"/>
      <c r="D4" s="332"/>
      <c r="E4" s="326" t="s">
        <v>95</v>
      </c>
      <c r="F4" s="323"/>
      <c r="G4" s="326" t="s">
        <v>96</v>
      </c>
      <c r="H4" s="323"/>
      <c r="I4" s="326" t="s">
        <v>95</v>
      </c>
      <c r="J4" s="323"/>
      <c r="K4" s="326" t="s">
        <v>96</v>
      </c>
      <c r="L4" s="323"/>
      <c r="M4" s="331"/>
      <c r="N4" s="332"/>
    </row>
    <row r="5" spans="2:32" ht="25.5" x14ac:dyDescent="0.2">
      <c r="B5" s="305"/>
      <c r="C5" s="171" t="s">
        <v>420</v>
      </c>
      <c r="D5" s="180" t="s">
        <v>501</v>
      </c>
      <c r="E5" s="171" t="s">
        <v>420</v>
      </c>
      <c r="F5" s="180" t="s">
        <v>501</v>
      </c>
      <c r="G5" s="171" t="s">
        <v>420</v>
      </c>
      <c r="H5" s="180" t="s">
        <v>501</v>
      </c>
      <c r="I5" s="171" t="s">
        <v>420</v>
      </c>
      <c r="J5" s="180" t="s">
        <v>501</v>
      </c>
      <c r="K5" s="171" t="s">
        <v>420</v>
      </c>
      <c r="L5" s="180" t="s">
        <v>501</v>
      </c>
      <c r="M5" s="171" t="s">
        <v>420</v>
      </c>
      <c r="N5" s="180" t="s">
        <v>501</v>
      </c>
    </row>
    <row r="6" spans="2:32" x14ac:dyDescent="0.2">
      <c r="B6" s="25">
        <v>0</v>
      </c>
      <c r="C6" s="27">
        <v>43199.965607937898</v>
      </c>
      <c r="D6" s="33">
        <v>0</v>
      </c>
      <c r="E6" s="27">
        <v>2090.03121548118</v>
      </c>
      <c r="F6" s="33">
        <v>0</v>
      </c>
      <c r="G6" s="27">
        <v>4449.4383504402404</v>
      </c>
      <c r="H6" s="33">
        <v>0</v>
      </c>
      <c r="I6" s="27">
        <v>6910.5646104924199</v>
      </c>
      <c r="J6" s="33">
        <v>0</v>
      </c>
      <c r="K6" s="27">
        <v>15341.907800695601</v>
      </c>
      <c r="L6" s="27">
        <v>0</v>
      </c>
      <c r="M6" s="27">
        <f>C6+E6+G6+I6+K6</f>
        <v>71991.907585047331</v>
      </c>
      <c r="N6" s="27">
        <f>D6+F6+H6+J6+L6</f>
        <v>0</v>
      </c>
    </row>
    <row r="7" spans="2:32" x14ac:dyDescent="0.2">
      <c r="B7" s="25" t="s">
        <v>49</v>
      </c>
      <c r="C7" s="27">
        <v>68810.149207473194</v>
      </c>
      <c r="D7" s="33">
        <v>588816.05092768499</v>
      </c>
      <c r="E7" s="27">
        <v>1658.3182416262</v>
      </c>
      <c r="F7" s="33">
        <v>12678.808402717499</v>
      </c>
      <c r="G7" s="27">
        <v>2307.02421376545</v>
      </c>
      <c r="H7" s="33">
        <v>19093.656987984999</v>
      </c>
      <c r="I7" s="27">
        <v>3479.7718006311302</v>
      </c>
      <c r="J7" s="33">
        <v>35893.553409282402</v>
      </c>
      <c r="K7" s="27">
        <v>6213.0284161649397</v>
      </c>
      <c r="L7" s="27">
        <v>63660.798440012302</v>
      </c>
      <c r="M7" s="27">
        <f t="shared" ref="M7:N16" si="0">C7+E7+G7+I7+K7</f>
        <v>82468.291879660916</v>
      </c>
      <c r="N7" s="27">
        <f t="shared" si="0"/>
        <v>720142.86816768209</v>
      </c>
    </row>
    <row r="8" spans="2:32" x14ac:dyDescent="0.2">
      <c r="B8" s="25" t="s">
        <v>51</v>
      </c>
      <c r="C8" s="27">
        <v>20263.230899884999</v>
      </c>
      <c r="D8" s="33">
        <v>728054.56965654006</v>
      </c>
      <c r="E8" s="27">
        <v>531.03715496818199</v>
      </c>
      <c r="F8" s="33">
        <v>19509.922914204799</v>
      </c>
      <c r="G8" s="27">
        <v>891.54564595317504</v>
      </c>
      <c r="H8" s="33">
        <v>32596.118642023899</v>
      </c>
      <c r="I8" s="27">
        <v>1991.4483480450001</v>
      </c>
      <c r="J8" s="33">
        <v>73786.778031303795</v>
      </c>
      <c r="K8" s="27">
        <v>3219.1899633475</v>
      </c>
      <c r="L8" s="27">
        <v>119191.027676843</v>
      </c>
      <c r="M8" s="27">
        <f t="shared" si="0"/>
        <v>26896.452012198853</v>
      </c>
      <c r="N8" s="27">
        <f t="shared" si="0"/>
        <v>973138.41692091548</v>
      </c>
    </row>
    <row r="9" spans="2:32" x14ac:dyDescent="0.2">
      <c r="B9" s="25" t="s">
        <v>52</v>
      </c>
      <c r="C9" s="27">
        <v>18971.989813518801</v>
      </c>
      <c r="D9" s="33">
        <v>1355988.9761357901</v>
      </c>
      <c r="E9" s="27">
        <v>825.52177998783702</v>
      </c>
      <c r="F9" s="33">
        <v>60346.125021996602</v>
      </c>
      <c r="G9" s="27">
        <v>1107.9286877081399</v>
      </c>
      <c r="H9" s="33">
        <v>81669.473440204005</v>
      </c>
      <c r="I9" s="27">
        <v>2907.0945596581601</v>
      </c>
      <c r="J9" s="33">
        <v>213313.47794042801</v>
      </c>
      <c r="K9" s="27">
        <v>4493.4598186223402</v>
      </c>
      <c r="L9" s="27">
        <v>328134.90795030701</v>
      </c>
      <c r="M9" s="27">
        <f t="shared" si="0"/>
        <v>28305.994659495278</v>
      </c>
      <c r="N9" s="27">
        <f t="shared" si="0"/>
        <v>2039452.9604887259</v>
      </c>
    </row>
    <row r="10" spans="2:32" x14ac:dyDescent="0.2">
      <c r="B10" s="25" t="s">
        <v>53</v>
      </c>
      <c r="C10" s="27">
        <v>17877.801413424098</v>
      </c>
      <c r="D10" s="33">
        <v>2840681.7412878</v>
      </c>
      <c r="E10" s="27">
        <v>1508.27425150158</v>
      </c>
      <c r="F10" s="33">
        <v>253449.48049820401</v>
      </c>
      <c r="G10" s="27">
        <v>1811.98314554325</v>
      </c>
      <c r="H10" s="33">
        <v>295893.48183727002</v>
      </c>
      <c r="I10" s="27">
        <v>5457.2234209115804</v>
      </c>
      <c r="J10" s="33">
        <v>905500.93511378998</v>
      </c>
      <c r="K10" s="27">
        <v>7368.1962463709096</v>
      </c>
      <c r="L10" s="27">
        <v>1222100.0984286901</v>
      </c>
      <c r="M10" s="27">
        <f t="shared" si="0"/>
        <v>34023.478477751421</v>
      </c>
      <c r="N10" s="27">
        <f t="shared" si="0"/>
        <v>5517625.7371657537</v>
      </c>
    </row>
    <row r="11" spans="2:32" x14ac:dyDescent="0.2">
      <c r="B11" s="25" t="s">
        <v>54</v>
      </c>
      <c r="C11" s="27">
        <v>8921.4202619928892</v>
      </c>
      <c r="D11" s="33">
        <v>3126453.2870364799</v>
      </c>
      <c r="E11" s="27">
        <v>1352.7703585910799</v>
      </c>
      <c r="F11" s="33">
        <v>488501.972341366</v>
      </c>
      <c r="G11" s="27">
        <v>1179.0175128713499</v>
      </c>
      <c r="H11" s="33">
        <v>417001.47466143599</v>
      </c>
      <c r="I11" s="27">
        <v>4397.5386319967902</v>
      </c>
      <c r="J11" s="33">
        <v>1577258.5567052499</v>
      </c>
      <c r="K11" s="27">
        <v>4998.4820632195397</v>
      </c>
      <c r="L11" s="27">
        <v>1775139.6804943001</v>
      </c>
      <c r="M11" s="27">
        <f t="shared" si="0"/>
        <v>20849.22882867165</v>
      </c>
      <c r="N11" s="27">
        <f t="shared" si="0"/>
        <v>7384354.971238832</v>
      </c>
    </row>
    <row r="12" spans="2:32" x14ac:dyDescent="0.2">
      <c r="B12" s="25" t="s">
        <v>55</v>
      </c>
      <c r="C12" s="27">
        <v>3462.4069981519501</v>
      </c>
      <c r="D12" s="33">
        <v>2106854.4863810199</v>
      </c>
      <c r="E12" s="27">
        <v>659.95223242779502</v>
      </c>
      <c r="F12" s="33">
        <v>403413.53416213399</v>
      </c>
      <c r="G12" s="27">
        <v>525.83661564611896</v>
      </c>
      <c r="H12" s="33">
        <v>319800.85510132101</v>
      </c>
      <c r="I12" s="27">
        <v>2097.3243123645102</v>
      </c>
      <c r="J12" s="33">
        <v>1283565.73827274</v>
      </c>
      <c r="K12" s="27">
        <v>2184.2257577064602</v>
      </c>
      <c r="L12" s="27">
        <v>1326382.5258285899</v>
      </c>
      <c r="M12" s="27">
        <f t="shared" si="0"/>
        <v>8929.7459162968335</v>
      </c>
      <c r="N12" s="27">
        <f t="shared" si="0"/>
        <v>5440017.1397458045</v>
      </c>
    </row>
    <row r="13" spans="2:32" x14ac:dyDescent="0.2">
      <c r="B13" s="25" t="s">
        <v>56</v>
      </c>
      <c r="C13" s="27">
        <v>1575.03394739086</v>
      </c>
      <c r="D13" s="33">
        <v>1351016.05744465</v>
      </c>
      <c r="E13" s="27">
        <v>390.58968354365601</v>
      </c>
      <c r="F13" s="33">
        <v>337407.15811756998</v>
      </c>
      <c r="G13" s="27">
        <v>271.61216141194097</v>
      </c>
      <c r="H13" s="33">
        <v>235057.814224703</v>
      </c>
      <c r="I13" s="27">
        <v>1121.4938065732599</v>
      </c>
      <c r="J13" s="33">
        <v>969400.98885827698</v>
      </c>
      <c r="K13" s="27">
        <v>1133.40117201473</v>
      </c>
      <c r="L13" s="27">
        <v>977184.97415857099</v>
      </c>
      <c r="M13" s="27">
        <f t="shared" si="0"/>
        <v>4492.1307709344474</v>
      </c>
      <c r="N13" s="27">
        <f t="shared" si="0"/>
        <v>3870066.992803771</v>
      </c>
    </row>
    <row r="14" spans="2:32" x14ac:dyDescent="0.2">
      <c r="B14" s="25" t="s">
        <v>57</v>
      </c>
      <c r="C14" s="27">
        <v>2461.0989443383901</v>
      </c>
      <c r="D14" s="33">
        <v>4237766.57139498</v>
      </c>
      <c r="E14" s="27">
        <v>782.683950553866</v>
      </c>
      <c r="F14" s="33">
        <v>1408503.38110747</v>
      </c>
      <c r="G14" s="27">
        <v>489.70119739432897</v>
      </c>
      <c r="H14" s="33">
        <v>896092.95452802395</v>
      </c>
      <c r="I14" s="27">
        <v>2122.5608602668999</v>
      </c>
      <c r="J14" s="33">
        <v>3775648.5623499001</v>
      </c>
      <c r="K14" s="27">
        <v>2212.4601126198399</v>
      </c>
      <c r="L14" s="27">
        <v>4064522.7973297201</v>
      </c>
      <c r="M14" s="27">
        <f t="shared" si="0"/>
        <v>8068.5050651733254</v>
      </c>
      <c r="N14" s="27">
        <f t="shared" si="0"/>
        <v>14382534.266710095</v>
      </c>
    </row>
    <row r="15" spans="2:32" x14ac:dyDescent="0.2">
      <c r="B15" s="25" t="s">
        <v>58</v>
      </c>
      <c r="C15" s="27">
        <v>145.17373174066401</v>
      </c>
      <c r="D15" s="33">
        <v>984683.96056135802</v>
      </c>
      <c r="E15" s="27">
        <v>43.036902728023598</v>
      </c>
      <c r="F15" s="33">
        <v>278692.97930035501</v>
      </c>
      <c r="G15" s="27">
        <v>48.112380721213803</v>
      </c>
      <c r="H15" s="33">
        <v>320749.44611397502</v>
      </c>
      <c r="I15" s="27">
        <v>123.763500836221</v>
      </c>
      <c r="J15" s="33">
        <v>799106.71383988694</v>
      </c>
      <c r="K15" s="27">
        <v>161.123993022056</v>
      </c>
      <c r="L15" s="27">
        <v>1101095.7060414799</v>
      </c>
      <c r="M15" s="27">
        <f t="shared" si="0"/>
        <v>521.21050904817844</v>
      </c>
      <c r="N15" s="27">
        <f t="shared" si="0"/>
        <v>3484328.8058570549</v>
      </c>
    </row>
    <row r="16" spans="2:32" x14ac:dyDescent="0.2">
      <c r="B16" s="26" t="s">
        <v>50</v>
      </c>
      <c r="C16" s="27">
        <v>64.272275407136604</v>
      </c>
      <c r="D16" s="33">
        <v>1323074.4569077699</v>
      </c>
      <c r="E16" s="27">
        <v>25.7363008402214</v>
      </c>
      <c r="F16" s="33">
        <v>733799.20995684795</v>
      </c>
      <c r="G16" s="27">
        <v>25.737507250092399</v>
      </c>
      <c r="H16" s="33">
        <v>599696.78514306794</v>
      </c>
      <c r="I16" s="27">
        <v>46.036531627991302</v>
      </c>
      <c r="J16" s="33">
        <v>1386407.15016477</v>
      </c>
      <c r="K16" s="27">
        <v>69.708167985284604</v>
      </c>
      <c r="L16" s="27">
        <v>1374973.7845566</v>
      </c>
      <c r="M16" s="27">
        <f t="shared" si="0"/>
        <v>231.49078311072631</v>
      </c>
      <c r="N16" s="27">
        <f t="shared" si="0"/>
        <v>5417951.386729056</v>
      </c>
    </row>
    <row r="17" spans="2:14" x14ac:dyDescent="0.2">
      <c r="B17" s="10" t="s">
        <v>0</v>
      </c>
      <c r="C17" s="90">
        <f t="shared" ref="C17:N17" si="1">SUM(C6:C16)</f>
        <v>185752.54310126088</v>
      </c>
      <c r="D17" s="31">
        <f t="shared" si="1"/>
        <v>18643390.157734077</v>
      </c>
      <c r="E17" s="90">
        <f t="shared" si="1"/>
        <v>9867.95207224962</v>
      </c>
      <c r="F17" s="31">
        <f t="shared" si="1"/>
        <v>3996302.5718228663</v>
      </c>
      <c r="G17" s="90">
        <f t="shared" si="1"/>
        <v>13107.9374187053</v>
      </c>
      <c r="H17" s="31">
        <f t="shared" si="1"/>
        <v>3217652.0606800094</v>
      </c>
      <c r="I17" s="90">
        <f t="shared" si="1"/>
        <v>30654.820383403967</v>
      </c>
      <c r="J17" s="31">
        <f t="shared" si="1"/>
        <v>11019882.454685628</v>
      </c>
      <c r="K17" s="90">
        <f t="shared" si="1"/>
        <v>47395.183511769203</v>
      </c>
      <c r="L17" s="31">
        <f t="shared" si="1"/>
        <v>12352386.300905112</v>
      </c>
      <c r="M17" s="90">
        <f t="shared" si="1"/>
        <v>286778.43648738903</v>
      </c>
      <c r="N17" s="31">
        <f t="shared" si="1"/>
        <v>49229613.545827687</v>
      </c>
    </row>
    <row r="19" spans="2:14" x14ac:dyDescent="0.2">
      <c r="B19" s="300" t="s">
        <v>551</v>
      </c>
      <c r="C19" s="292"/>
      <c r="D19" s="292"/>
      <c r="E19" s="292"/>
      <c r="F19" s="292"/>
      <c r="G19" s="292"/>
      <c r="H19" s="292"/>
      <c r="I19" s="292"/>
      <c r="J19" s="292"/>
      <c r="K19" s="292"/>
      <c r="L19" s="292"/>
      <c r="M19" s="292"/>
      <c r="N19" s="292"/>
    </row>
  </sheetData>
  <mergeCells count="10">
    <mergeCell ref="B19:N19"/>
    <mergeCell ref="B3:B5"/>
    <mergeCell ref="C3:D4"/>
    <mergeCell ref="E3:H3"/>
    <mergeCell ref="I3:L3"/>
    <mergeCell ref="M3:N4"/>
    <mergeCell ref="E4:F4"/>
    <mergeCell ref="G4:H4"/>
    <mergeCell ref="I4:J4"/>
    <mergeCell ref="K4:L4"/>
  </mergeCells>
  <pageMargins left="0.78740157480314965" right="0.78740157480314965" top="0.98425196850393704" bottom="0.98425196850393704" header="0.51181102362204722" footer="0.51181102362204722"/>
  <pageSetup paperSize="9" scale="8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C9BD"/>
    <pageSetUpPr fitToPage="1"/>
  </sheetPr>
  <dimension ref="B1:AF1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12" width="13.140625" style="76" customWidth="1"/>
    <col min="13" max="13" width="3" style="76" customWidth="1"/>
    <col min="14" max="16384" width="11.42578125" style="76"/>
  </cols>
  <sheetData>
    <row r="1" spans="2:32" s="11" customFormat="1" ht="15.75" x14ac:dyDescent="0.2">
      <c r="B1" s="186" t="str">
        <f>Inhaltsverzeichnis!B47&amp;" "&amp;Inhaltsverzeichnis!C47&amp;" "&amp;Inhaltsverzeichnis!E47</f>
        <v>Tabelle 16: Verteilung der Altersrentnerinnen und -rentner, Einkommen und Vermögen nach Stufen des Reineinkommens,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538</v>
      </c>
      <c r="C3" s="287" t="s">
        <v>420</v>
      </c>
      <c r="D3" s="283"/>
      <c r="E3" s="282" t="s">
        <v>59</v>
      </c>
      <c r="F3" s="286"/>
      <c r="G3" s="282" t="s">
        <v>60</v>
      </c>
      <c r="H3" s="283"/>
      <c r="I3" s="282" t="s">
        <v>641</v>
      </c>
      <c r="J3" s="283"/>
      <c r="K3" s="282" t="s">
        <v>61</v>
      </c>
      <c r="L3" s="283"/>
    </row>
    <row r="4" spans="2:32" ht="17.25" customHeight="1" x14ac:dyDescent="0.2">
      <c r="B4" s="285"/>
      <c r="C4" s="47" t="s">
        <v>1</v>
      </c>
      <c r="D4" s="47" t="s">
        <v>2</v>
      </c>
      <c r="E4" s="47" t="s">
        <v>1</v>
      </c>
      <c r="F4" s="47" t="s">
        <v>2</v>
      </c>
      <c r="G4" s="47" t="s">
        <v>1</v>
      </c>
      <c r="H4" s="47" t="s">
        <v>2</v>
      </c>
      <c r="I4" s="47" t="s">
        <v>1</v>
      </c>
      <c r="J4" s="47" t="s">
        <v>2</v>
      </c>
      <c r="K4" s="47" t="s">
        <v>1</v>
      </c>
      <c r="L4" s="47" t="s">
        <v>2</v>
      </c>
    </row>
    <row r="5" spans="2:32" x14ac:dyDescent="0.2">
      <c r="B5" s="25">
        <v>0</v>
      </c>
      <c r="C5" s="27">
        <v>2297.7826</v>
      </c>
      <c r="D5" s="28">
        <f>C5/SUM($C$5:$C$16)</f>
        <v>2.9785494331429168E-2</v>
      </c>
      <c r="E5" s="27">
        <v>63779.83023</v>
      </c>
      <c r="F5" s="28">
        <f>E5/SUM($E$5:$E$16)</f>
        <v>1.1072998213952618E-2</v>
      </c>
      <c r="G5" s="27">
        <v>0</v>
      </c>
      <c r="H5" s="28">
        <f>G5/SUM($G$5:$G$16)</f>
        <v>0</v>
      </c>
      <c r="I5" s="27">
        <v>737802.93389999995</v>
      </c>
      <c r="J5" s="28">
        <f>I5/SUM($I$5:$I$16)</f>
        <v>1.0618630914989526E-2</v>
      </c>
      <c r="K5" s="27">
        <v>540897.87970000005</v>
      </c>
      <c r="L5" s="28">
        <f>K5/SUM($K$5:$K$16)</f>
        <v>9.8780227533955493E-3</v>
      </c>
    </row>
    <row r="6" spans="2:32" x14ac:dyDescent="0.2">
      <c r="B6" s="25" t="s">
        <v>38</v>
      </c>
      <c r="C6" s="27">
        <v>1321.8177049999999</v>
      </c>
      <c r="D6" s="28">
        <f t="shared" ref="D6:D16" si="0">C6/SUM($C$5:$C$16)</f>
        <v>1.7134342369665524E-2</v>
      </c>
      <c r="E6" s="27">
        <v>34258.388619999998</v>
      </c>
      <c r="F6" s="28">
        <f t="shared" ref="F6:F16" si="1">E6/SUM($E$5:$E$16)</f>
        <v>5.9476965466070458E-3</v>
      </c>
      <c r="G6" s="27">
        <v>7302.2526470000003</v>
      </c>
      <c r="H6" s="28">
        <f t="shared" ref="H6:H16" si="2">G6/SUM($G$5:$G$16)</f>
        <v>1.4963387127449991E-3</v>
      </c>
      <c r="I6" s="27">
        <v>320065.39850000001</v>
      </c>
      <c r="J6" s="28">
        <f t="shared" ref="J6:J16" si="3">I6/SUM($I$5:$I$16)</f>
        <v>4.6064554356884521E-3</v>
      </c>
      <c r="K6" s="27">
        <v>267565.3028</v>
      </c>
      <c r="L6" s="28">
        <f t="shared" ref="L6:L16" si="4">K6/SUM($K$5:$K$16)</f>
        <v>4.886349620271159E-3</v>
      </c>
    </row>
    <row r="7" spans="2:32" x14ac:dyDescent="0.2">
      <c r="B7" s="25" t="s">
        <v>39</v>
      </c>
      <c r="C7" s="27">
        <v>3502.9456409999998</v>
      </c>
      <c r="D7" s="28">
        <f t="shared" si="0"/>
        <v>4.5407675875563686E-2</v>
      </c>
      <c r="E7" s="27">
        <v>88695.659039999999</v>
      </c>
      <c r="F7" s="28">
        <f t="shared" si="1"/>
        <v>1.5398706308774544E-2</v>
      </c>
      <c r="G7" s="27">
        <v>56325.795859999998</v>
      </c>
      <c r="H7" s="28">
        <f t="shared" si="2"/>
        <v>1.1541982035655251E-2</v>
      </c>
      <c r="I7" s="27">
        <v>821605.12040000001</v>
      </c>
      <c r="J7" s="28">
        <f t="shared" si="3"/>
        <v>1.1824731416120398E-2</v>
      </c>
      <c r="K7" s="27">
        <v>649612.09649999999</v>
      </c>
      <c r="L7" s="28">
        <f t="shared" si="4"/>
        <v>1.1863391059449155E-2</v>
      </c>
    </row>
    <row r="8" spans="2:32" x14ac:dyDescent="0.2">
      <c r="B8" s="25" t="s">
        <v>40</v>
      </c>
      <c r="C8" s="27">
        <v>9428.4670370000003</v>
      </c>
      <c r="D8" s="28">
        <f t="shared" si="0"/>
        <v>0.12221850382391714</v>
      </c>
      <c r="E8" s="27">
        <v>291396.29359999998</v>
      </c>
      <c r="F8" s="28">
        <f t="shared" si="1"/>
        <v>5.0590141537684874E-2</v>
      </c>
      <c r="G8" s="27">
        <v>238314.79199999999</v>
      </c>
      <c r="H8" s="28">
        <f t="shared" si="2"/>
        <v>4.8834197654866789E-2</v>
      </c>
      <c r="I8" s="27">
        <v>2579417.6469999999</v>
      </c>
      <c r="J8" s="28">
        <f t="shared" si="3"/>
        <v>3.7123576920901888E-2</v>
      </c>
      <c r="K8" s="27">
        <v>2087534.612</v>
      </c>
      <c r="L8" s="28">
        <f t="shared" si="4"/>
        <v>3.8123119297997034E-2</v>
      </c>
    </row>
    <row r="9" spans="2:32" x14ac:dyDescent="0.2">
      <c r="B9" s="25" t="s">
        <v>41</v>
      </c>
      <c r="C9" s="27">
        <v>21082.32141</v>
      </c>
      <c r="D9" s="28">
        <f t="shared" si="0"/>
        <v>0.27328406301402175</v>
      </c>
      <c r="E9" s="27">
        <v>992010.81720000005</v>
      </c>
      <c r="F9" s="28">
        <f t="shared" si="1"/>
        <v>0.17222582699680036</v>
      </c>
      <c r="G9" s="27">
        <v>844262.86640000006</v>
      </c>
      <c r="H9" s="28">
        <f t="shared" si="2"/>
        <v>0.17300184912752709</v>
      </c>
      <c r="I9" s="27">
        <v>10599314.970000001</v>
      </c>
      <c r="J9" s="28">
        <f t="shared" si="3"/>
        <v>0.15254779894031714</v>
      </c>
      <c r="K9" s="27">
        <v>8484383.0199999996</v>
      </c>
      <c r="L9" s="28">
        <f t="shared" si="4"/>
        <v>0.15494408772052512</v>
      </c>
    </row>
    <row r="10" spans="2:32" x14ac:dyDescent="0.2">
      <c r="B10" s="25" t="s">
        <v>42</v>
      </c>
      <c r="C10" s="27">
        <v>19453.9038</v>
      </c>
      <c r="D10" s="28">
        <f t="shared" si="0"/>
        <v>0.25217535434338667</v>
      </c>
      <c r="E10" s="27">
        <v>1387934.8089999999</v>
      </c>
      <c r="F10" s="28">
        <f t="shared" si="1"/>
        <v>0.24096332031173653</v>
      </c>
      <c r="G10" s="27">
        <v>1199939.1459999999</v>
      </c>
      <c r="H10" s="28">
        <f t="shared" si="2"/>
        <v>0.24588513762744554</v>
      </c>
      <c r="I10" s="27">
        <v>14654758.949999999</v>
      </c>
      <c r="J10" s="28">
        <f t="shared" si="3"/>
        <v>0.2109146891238588</v>
      </c>
      <c r="K10" s="27">
        <v>11409695.970000001</v>
      </c>
      <c r="L10" s="28">
        <f t="shared" si="4"/>
        <v>0.20836694065707115</v>
      </c>
    </row>
    <row r="11" spans="2:32" x14ac:dyDescent="0.2">
      <c r="B11" s="25" t="s">
        <v>43</v>
      </c>
      <c r="C11" s="27">
        <v>10313.234049999999</v>
      </c>
      <c r="D11" s="28">
        <f t="shared" si="0"/>
        <v>0.13368748389642138</v>
      </c>
      <c r="E11" s="27">
        <v>1015349.971</v>
      </c>
      <c r="F11" s="28">
        <f t="shared" si="1"/>
        <v>0.17627780404676444</v>
      </c>
      <c r="G11" s="27">
        <v>884580.12730000005</v>
      </c>
      <c r="H11" s="28">
        <f t="shared" si="2"/>
        <v>0.18126344745791284</v>
      </c>
      <c r="I11" s="27">
        <v>10704625.16</v>
      </c>
      <c r="J11" s="28">
        <f t="shared" si="3"/>
        <v>0.15406344761534527</v>
      </c>
      <c r="K11" s="27">
        <v>8241115.3930000002</v>
      </c>
      <c r="L11" s="28">
        <f t="shared" si="4"/>
        <v>0.15050146879955001</v>
      </c>
    </row>
    <row r="12" spans="2:32" x14ac:dyDescent="0.2">
      <c r="B12" s="25" t="s">
        <v>44</v>
      </c>
      <c r="C12" s="27">
        <v>6610.5293309999997</v>
      </c>
      <c r="D12" s="28">
        <f t="shared" si="0"/>
        <v>8.5690388601709633E-2</v>
      </c>
      <c r="E12" s="27">
        <v>904855.13549999997</v>
      </c>
      <c r="F12" s="28">
        <f t="shared" si="1"/>
        <v>0.15709448054574029</v>
      </c>
      <c r="G12" s="27">
        <v>785536.86860000005</v>
      </c>
      <c r="H12" s="28">
        <f t="shared" si="2"/>
        <v>0.16096803049639288</v>
      </c>
      <c r="I12" s="27">
        <v>10911942.529999999</v>
      </c>
      <c r="J12" s="28">
        <f t="shared" si="3"/>
        <v>0.1570472072795413</v>
      </c>
      <c r="K12" s="27">
        <v>8405330.5519999992</v>
      </c>
      <c r="L12" s="28">
        <f t="shared" si="4"/>
        <v>0.15350041025954267</v>
      </c>
    </row>
    <row r="13" spans="2:32" x14ac:dyDescent="0.2">
      <c r="B13" s="25" t="s">
        <v>45</v>
      </c>
      <c r="C13" s="27">
        <v>2243.332418</v>
      </c>
      <c r="D13" s="28">
        <f t="shared" si="0"/>
        <v>2.9079672297914642E-2</v>
      </c>
      <c r="E13" s="27">
        <v>476164.73830000003</v>
      </c>
      <c r="F13" s="28">
        <f t="shared" si="1"/>
        <v>8.2668318145868419E-2</v>
      </c>
      <c r="G13" s="27">
        <v>411334.91279999999</v>
      </c>
      <c r="H13" s="28">
        <f t="shared" si="2"/>
        <v>8.4288559117314865E-2</v>
      </c>
      <c r="I13" s="27">
        <v>6822880.1710000001</v>
      </c>
      <c r="J13" s="28">
        <f t="shared" si="3"/>
        <v>9.8196473589612032E-2</v>
      </c>
      <c r="K13" s="27">
        <v>5186596.9859999996</v>
      </c>
      <c r="L13" s="28">
        <f t="shared" si="4"/>
        <v>9.4719031009728644E-2</v>
      </c>
    </row>
    <row r="14" spans="2:32" x14ac:dyDescent="0.2">
      <c r="B14" s="25" t="s">
        <v>46</v>
      </c>
      <c r="C14" s="27">
        <v>663.62651089999997</v>
      </c>
      <c r="D14" s="28">
        <f t="shared" si="0"/>
        <v>8.6023994082808641E-3</v>
      </c>
      <c r="E14" s="27">
        <v>250387.07870000001</v>
      </c>
      <c r="F14" s="28">
        <f t="shared" si="1"/>
        <v>4.3470414788558051E-2</v>
      </c>
      <c r="G14" s="27">
        <v>218052.3535</v>
      </c>
      <c r="H14" s="28">
        <f t="shared" si="2"/>
        <v>4.4682126697061605E-2</v>
      </c>
      <c r="I14" s="27">
        <v>4566235.0959999999</v>
      </c>
      <c r="J14" s="28">
        <f t="shared" si="3"/>
        <v>6.5718314373181388E-2</v>
      </c>
      <c r="K14" s="27">
        <v>3511280.2349999999</v>
      </c>
      <c r="L14" s="28">
        <f t="shared" si="4"/>
        <v>6.4123945307597158E-2</v>
      </c>
    </row>
    <row r="15" spans="2:32" x14ac:dyDescent="0.2">
      <c r="B15" s="25" t="s">
        <v>47</v>
      </c>
      <c r="C15" s="27">
        <v>173.47401970000001</v>
      </c>
      <c r="D15" s="28">
        <f t="shared" si="0"/>
        <v>2.2486937756533544E-3</v>
      </c>
      <c r="E15" s="27">
        <v>128462.4843</v>
      </c>
      <c r="F15" s="28">
        <f t="shared" si="1"/>
        <v>2.2302738249446358E-2</v>
      </c>
      <c r="G15" s="27">
        <v>114577.8624</v>
      </c>
      <c r="H15" s="28">
        <f t="shared" si="2"/>
        <v>2.3478685197659614E-2</v>
      </c>
      <c r="I15" s="27">
        <v>2765714.0419999999</v>
      </c>
      <c r="J15" s="28">
        <f t="shared" si="3"/>
        <v>3.9804797838310466E-2</v>
      </c>
      <c r="K15" s="27">
        <v>2299531.1669999999</v>
      </c>
      <c r="L15" s="28">
        <f t="shared" si="4"/>
        <v>4.1994657480200544E-2</v>
      </c>
    </row>
    <row r="16" spans="2:32" x14ac:dyDescent="0.2">
      <c r="B16" s="95" t="s">
        <v>48</v>
      </c>
      <c r="C16" s="27">
        <v>52.91548993</v>
      </c>
      <c r="D16" s="28">
        <f t="shared" si="0"/>
        <v>6.859282620361091E-4</v>
      </c>
      <c r="E16" s="27">
        <v>126647.04300000001</v>
      </c>
      <c r="F16" s="28">
        <f t="shared" si="1"/>
        <v>2.1987554308066405E-2</v>
      </c>
      <c r="G16" s="27">
        <v>119853.037</v>
      </c>
      <c r="H16" s="28">
        <f t="shared" si="2"/>
        <v>2.4559645875418687E-2</v>
      </c>
      <c r="I16" s="27">
        <v>3997564.588</v>
      </c>
      <c r="J16" s="28">
        <f t="shared" si="3"/>
        <v>5.7533876552133031E-2</v>
      </c>
      <c r="K16" s="27">
        <v>3674164.1940000001</v>
      </c>
      <c r="L16" s="28">
        <f t="shared" si="4"/>
        <v>6.7098576034671814E-2</v>
      </c>
    </row>
    <row r="17" spans="2:12" x14ac:dyDescent="0.2">
      <c r="B17" s="10" t="s">
        <v>0</v>
      </c>
      <c r="C17" s="90">
        <f>SUM(C5:C16)</f>
        <v>77144.350012530005</v>
      </c>
      <c r="D17" s="29">
        <f t="shared" ref="D17:L17" si="5">SUM(D5:D16)</f>
        <v>1</v>
      </c>
      <c r="E17" s="90">
        <f t="shared" si="5"/>
        <v>5759942.2484900001</v>
      </c>
      <c r="F17" s="29">
        <f t="shared" si="5"/>
        <v>0.99999999999999989</v>
      </c>
      <c r="G17" s="90">
        <f t="shared" si="5"/>
        <v>4880080.0145069994</v>
      </c>
      <c r="H17" s="29">
        <f t="shared" si="5"/>
        <v>1.0000000000000002</v>
      </c>
      <c r="I17" s="90">
        <f t="shared" si="5"/>
        <v>69481926.60680002</v>
      </c>
      <c r="J17" s="29">
        <f t="shared" si="5"/>
        <v>0.99999999999999978</v>
      </c>
      <c r="K17" s="90">
        <f t="shared" si="5"/>
        <v>54757707.408</v>
      </c>
      <c r="L17" s="29">
        <f t="shared" si="5"/>
        <v>1</v>
      </c>
    </row>
    <row r="19" spans="2:12" x14ac:dyDescent="0.2">
      <c r="B19" s="300" t="s">
        <v>432</v>
      </c>
      <c r="C19" s="292"/>
      <c r="D19" s="292"/>
      <c r="E19" s="292"/>
      <c r="F19" s="292"/>
      <c r="G19" s="292"/>
      <c r="H19" s="292"/>
      <c r="I19" s="292"/>
      <c r="J19" s="292"/>
      <c r="K19" s="292"/>
      <c r="L19" s="292"/>
    </row>
  </sheetData>
  <mergeCells count="7">
    <mergeCell ref="B19:L19"/>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C9BD"/>
    <pageSetUpPr fitToPage="1"/>
  </sheetPr>
  <dimension ref="B1:AF45"/>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12" width="13.140625" style="76" customWidth="1"/>
    <col min="13" max="14" width="13.7109375" style="76" customWidth="1"/>
    <col min="15" max="17" width="11.42578125" style="76" customWidth="1"/>
    <col min="18" max="16384" width="11.42578125" style="76"/>
  </cols>
  <sheetData>
    <row r="1" spans="2:32" s="11" customFormat="1" ht="15.75" x14ac:dyDescent="0.2">
      <c r="B1" s="186" t="str">
        <f>Inhaltsverzeichnis!B48&amp;" "&amp;Inhaltsverzeichnis!C48&amp;" "&amp;Inhaltsverzeichnis!E48</f>
        <v>Tabelle 17: Verteilung der Altersrentnerinnen und -rentner, Einkommen und Vermögen nach Stufen des Reinvermögens, 2014</v>
      </c>
      <c r="C1" s="187"/>
      <c r="D1" s="187"/>
      <c r="E1" s="187"/>
      <c r="F1" s="187"/>
      <c r="G1" s="187"/>
      <c r="H1" s="187"/>
      <c r="I1" s="187"/>
      <c r="J1" s="187"/>
      <c r="K1" s="187"/>
      <c r="L1" s="187"/>
      <c r="M1" s="187"/>
      <c r="N1" s="187"/>
      <c r="O1" s="187"/>
      <c r="P1" s="187"/>
      <c r="Q1" s="187"/>
      <c r="R1" s="187"/>
      <c r="S1" s="187"/>
      <c r="T1" s="75"/>
      <c r="U1" s="75"/>
      <c r="V1" s="75"/>
      <c r="W1" s="75"/>
      <c r="X1" s="73"/>
      <c r="Y1" s="73"/>
      <c r="Z1" s="73"/>
      <c r="AA1" s="73"/>
      <c r="AB1" s="73"/>
      <c r="AC1" s="73"/>
      <c r="AD1" s="73"/>
      <c r="AE1" s="73"/>
      <c r="AF1" s="73"/>
    </row>
    <row r="3" spans="2:32" ht="28.5" customHeight="1" x14ac:dyDescent="0.2">
      <c r="B3" s="284" t="s">
        <v>540</v>
      </c>
      <c r="C3" s="287" t="s">
        <v>420</v>
      </c>
      <c r="D3" s="283"/>
      <c r="E3" s="282" t="s">
        <v>59</v>
      </c>
      <c r="F3" s="286"/>
      <c r="G3" s="282" t="s">
        <v>60</v>
      </c>
      <c r="H3" s="283"/>
      <c r="I3" s="282" t="s">
        <v>641</v>
      </c>
      <c r="J3" s="283"/>
      <c r="K3" s="282" t="s">
        <v>61</v>
      </c>
      <c r="L3" s="283"/>
    </row>
    <row r="4" spans="2:32" x14ac:dyDescent="0.2">
      <c r="B4" s="285"/>
      <c r="C4" s="47" t="s">
        <v>1</v>
      </c>
      <c r="D4" s="47" t="s">
        <v>2</v>
      </c>
      <c r="E4" s="47" t="s">
        <v>1</v>
      </c>
      <c r="F4" s="47" t="s">
        <v>2</v>
      </c>
      <c r="G4" s="47" t="s">
        <v>1</v>
      </c>
      <c r="H4" s="47" t="s">
        <v>2</v>
      </c>
      <c r="I4" s="47" t="s">
        <v>1</v>
      </c>
      <c r="J4" s="47" t="s">
        <v>2</v>
      </c>
      <c r="K4" s="47" t="s">
        <v>1</v>
      </c>
      <c r="L4" s="47" t="s">
        <v>2</v>
      </c>
    </row>
    <row r="5" spans="2:32" x14ac:dyDescent="0.2">
      <c r="B5" s="94">
        <v>0</v>
      </c>
      <c r="C5" s="121">
        <v>3346.4816350000001</v>
      </c>
      <c r="D5" s="28">
        <f>C5/SUM($C$5:$C$15)</f>
        <v>4.3379478015990486E-2</v>
      </c>
      <c r="E5" s="121">
        <v>174182.62359999999</v>
      </c>
      <c r="F5" s="28">
        <f>E5/SUM($E$5:$E$15)</f>
        <v>3.0240342016673583E-2</v>
      </c>
      <c r="G5" s="121">
        <v>138616.99220000001</v>
      </c>
      <c r="H5" s="28">
        <f>G5/SUM($G$5:$G$15)</f>
        <v>2.8404655617967837E-2</v>
      </c>
      <c r="I5" s="121">
        <v>714768.83100000001</v>
      </c>
      <c r="J5" s="28">
        <f>I5/SUM($I$5:$I$15)</f>
        <v>1.0287118764682236E-2</v>
      </c>
      <c r="K5" s="121">
        <v>0</v>
      </c>
      <c r="L5" s="28">
        <f>K5/SUM($K$5:$K$15)</f>
        <v>0</v>
      </c>
    </row>
    <row r="6" spans="2:32" x14ac:dyDescent="0.2">
      <c r="B6" s="24" t="s">
        <v>49</v>
      </c>
      <c r="C6" s="121">
        <v>7064.245938</v>
      </c>
      <c r="D6" s="28">
        <f t="shared" ref="D6:D15" si="0">C6/SUM($C$5:$C$15)</f>
        <v>9.1571786368706928E-2</v>
      </c>
      <c r="E6" s="121">
        <v>266365.45360000001</v>
      </c>
      <c r="F6" s="28">
        <f t="shared" ref="F6:F15" si="1">E6/SUM($E$5:$E$15)</f>
        <v>4.6244466019688533E-2</v>
      </c>
      <c r="G6" s="121">
        <v>211778.91329999999</v>
      </c>
      <c r="H6" s="28">
        <f t="shared" ref="H6:H15" si="2">G6/SUM($G$5:$G$15)</f>
        <v>4.339660675045269E-2</v>
      </c>
      <c r="I6" s="121">
        <v>260402.53969999999</v>
      </c>
      <c r="J6" s="28">
        <f t="shared" ref="J6:J15" si="3">I6/SUM($I$5:$I$15)</f>
        <v>3.7477737365394165E-3</v>
      </c>
      <c r="K6" s="121">
        <v>62208.120069999997</v>
      </c>
      <c r="L6" s="28">
        <f t="shared" ref="L6:L15" si="4">K6/SUM($K$5:$K$15)</f>
        <v>1.1360614425812577E-3</v>
      </c>
    </row>
    <row r="7" spans="2:32" x14ac:dyDescent="0.2">
      <c r="B7" s="25" t="s">
        <v>51</v>
      </c>
      <c r="C7" s="121">
        <v>3450.96002</v>
      </c>
      <c r="D7" s="28">
        <f t="shared" si="0"/>
        <v>4.4733801242465829E-2</v>
      </c>
      <c r="E7" s="121">
        <v>157774.89069999999</v>
      </c>
      <c r="F7" s="28">
        <f t="shared" si="1"/>
        <v>2.7391748716381673E-2</v>
      </c>
      <c r="G7" s="121">
        <v>126330.8251</v>
      </c>
      <c r="H7" s="28">
        <f t="shared" si="2"/>
        <v>2.588703970521752E-2</v>
      </c>
      <c r="I7" s="121">
        <v>381829.81939999998</v>
      </c>
      <c r="J7" s="28">
        <f t="shared" si="3"/>
        <v>5.4953833039551895E-3</v>
      </c>
      <c r="K7" s="121">
        <v>127607.4767</v>
      </c>
      <c r="L7" s="28">
        <f t="shared" si="4"/>
        <v>2.3304021066836308E-3</v>
      </c>
    </row>
    <row r="8" spans="2:32" x14ac:dyDescent="0.2">
      <c r="B8" s="25" t="s">
        <v>52</v>
      </c>
      <c r="C8" s="121">
        <v>5432.6164019999997</v>
      </c>
      <c r="D8" s="28">
        <f t="shared" si="0"/>
        <v>7.0421442423325389E-2</v>
      </c>
      <c r="E8" s="121">
        <v>277811.18969999999</v>
      </c>
      <c r="F8" s="28">
        <f t="shared" si="1"/>
        <v>4.8231592904925021E-2</v>
      </c>
      <c r="G8" s="121">
        <v>226946.82860000001</v>
      </c>
      <c r="H8" s="28">
        <f t="shared" si="2"/>
        <v>4.6504735153046942E-2</v>
      </c>
      <c r="I8" s="121">
        <v>928408.97640000004</v>
      </c>
      <c r="J8" s="28">
        <f t="shared" si="3"/>
        <v>1.3361877278646845E-2</v>
      </c>
      <c r="K8" s="121">
        <v>400750.04989999998</v>
      </c>
      <c r="L8" s="28">
        <f t="shared" si="4"/>
        <v>7.3186053410969933E-3</v>
      </c>
    </row>
    <row r="9" spans="2:32" x14ac:dyDescent="0.2">
      <c r="B9" s="25" t="s">
        <v>53</v>
      </c>
      <c r="C9" s="121">
        <v>12265.799300000001</v>
      </c>
      <c r="D9" s="28">
        <f t="shared" si="0"/>
        <v>0.15899802512524516</v>
      </c>
      <c r="E9" s="121">
        <v>739729.95250000001</v>
      </c>
      <c r="F9" s="28">
        <f t="shared" si="1"/>
        <v>0.12842662661315951</v>
      </c>
      <c r="G9" s="121">
        <v>621708.95109999995</v>
      </c>
      <c r="H9" s="28">
        <f t="shared" si="2"/>
        <v>0.12739728636676842</v>
      </c>
      <c r="I9" s="121">
        <v>4009377.6940000001</v>
      </c>
      <c r="J9" s="28">
        <f t="shared" si="3"/>
        <v>5.7703893513294219E-2</v>
      </c>
      <c r="K9" s="121">
        <v>2102797.2230000002</v>
      </c>
      <c r="L9" s="28">
        <f t="shared" si="4"/>
        <v>3.8401849210828329E-2</v>
      </c>
      <c r="P9" s="63"/>
      <c r="Q9" s="64"/>
      <c r="R9" s="64"/>
      <c r="S9" s="64"/>
      <c r="T9" s="64"/>
    </row>
    <row r="10" spans="2:32" x14ac:dyDescent="0.2">
      <c r="B10" s="25" t="s">
        <v>54</v>
      </c>
      <c r="C10" s="121">
        <v>15276.916069999999</v>
      </c>
      <c r="D10" s="28">
        <f t="shared" si="0"/>
        <v>0.19803026494442325</v>
      </c>
      <c r="E10" s="121">
        <v>1016967.9620000001</v>
      </c>
      <c r="F10" s="28">
        <f t="shared" si="1"/>
        <v>0.17655870806896898</v>
      </c>
      <c r="G10" s="121">
        <v>861386.62080000003</v>
      </c>
      <c r="H10" s="28">
        <f t="shared" si="2"/>
        <v>0.17651075765983221</v>
      </c>
      <c r="I10" s="121">
        <v>8295380.5480000004</v>
      </c>
      <c r="J10" s="28">
        <f t="shared" si="3"/>
        <v>0.11938904047637579</v>
      </c>
      <c r="K10" s="121">
        <v>5633802.3030000003</v>
      </c>
      <c r="L10" s="28">
        <f t="shared" si="4"/>
        <v>0.10288601495048832</v>
      </c>
      <c r="O10" s="65"/>
      <c r="P10" s="64"/>
      <c r="Q10" s="66"/>
      <c r="R10" s="66"/>
      <c r="S10" s="66"/>
      <c r="T10" s="66"/>
    </row>
    <row r="11" spans="2:32" x14ac:dyDescent="0.2">
      <c r="B11" s="25" t="s">
        <v>55</v>
      </c>
      <c r="C11" s="121">
        <v>10379.955760000001</v>
      </c>
      <c r="D11" s="28">
        <f t="shared" si="0"/>
        <v>0.1345523782316749</v>
      </c>
      <c r="E11" s="121">
        <v>770599.99219999998</v>
      </c>
      <c r="F11" s="28">
        <f t="shared" si="1"/>
        <v>0.13378606224056205</v>
      </c>
      <c r="G11" s="121">
        <v>658974.07660000003</v>
      </c>
      <c r="H11" s="28">
        <f t="shared" si="2"/>
        <v>0.13503345736996419</v>
      </c>
      <c r="I11" s="121">
        <v>8258546.5520000001</v>
      </c>
      <c r="J11" s="28">
        <f t="shared" si="3"/>
        <v>0.11885891706444733</v>
      </c>
      <c r="K11" s="121">
        <v>6395118.7869999995</v>
      </c>
      <c r="L11" s="28">
        <f t="shared" si="4"/>
        <v>0.11678938161870937</v>
      </c>
      <c r="O11" s="65"/>
      <c r="P11" s="64"/>
      <c r="Q11" s="66"/>
      <c r="R11" s="66"/>
      <c r="S11" s="66"/>
      <c r="T11" s="66"/>
    </row>
    <row r="12" spans="2:32" x14ac:dyDescent="0.2">
      <c r="B12" s="25" t="s">
        <v>56</v>
      </c>
      <c r="C12" s="121">
        <v>6423.0339450000001</v>
      </c>
      <c r="D12" s="28">
        <f t="shared" si="0"/>
        <v>8.3259939901952615E-2</v>
      </c>
      <c r="E12" s="121">
        <v>528503.14350000001</v>
      </c>
      <c r="F12" s="28">
        <f t="shared" si="1"/>
        <v>9.1754937926696367E-2</v>
      </c>
      <c r="G12" s="121">
        <v>452762.35560000001</v>
      </c>
      <c r="H12" s="28">
        <f t="shared" si="2"/>
        <v>9.2777650008754778E-2</v>
      </c>
      <c r="I12" s="121">
        <v>6855334.9119999995</v>
      </c>
      <c r="J12" s="28">
        <f t="shared" si="3"/>
        <v>9.8663569748491775E-2</v>
      </c>
      <c r="K12" s="121">
        <v>5543258.4720000001</v>
      </c>
      <c r="L12" s="28">
        <f t="shared" si="4"/>
        <v>0.10123247912354248</v>
      </c>
      <c r="O12" s="65"/>
      <c r="P12" s="64"/>
      <c r="Q12" s="66"/>
      <c r="R12" s="66"/>
      <c r="S12" s="66"/>
      <c r="T12" s="66"/>
    </row>
    <row r="13" spans="2:32" x14ac:dyDescent="0.2">
      <c r="B13" s="25" t="s">
        <v>57</v>
      </c>
      <c r="C13" s="121">
        <v>12693.308639999999</v>
      </c>
      <c r="D13" s="28">
        <f t="shared" si="0"/>
        <v>0.16453970562401191</v>
      </c>
      <c r="E13" s="121">
        <v>1462076.51</v>
      </c>
      <c r="F13" s="28">
        <f t="shared" si="1"/>
        <v>0.25383527244645587</v>
      </c>
      <c r="G13" s="121">
        <v>1258498.959</v>
      </c>
      <c r="H13" s="28">
        <f t="shared" si="2"/>
        <v>0.25788490255501317</v>
      </c>
      <c r="I13" s="121">
        <v>27000345.949999999</v>
      </c>
      <c r="J13" s="28">
        <f t="shared" si="3"/>
        <v>0.38859524006742396</v>
      </c>
      <c r="K13" s="121">
        <v>22917851.030000001</v>
      </c>
      <c r="L13" s="28">
        <f t="shared" si="4"/>
        <v>0.41853196773519163</v>
      </c>
      <c r="O13" s="65"/>
      <c r="P13" s="64"/>
      <c r="Q13" s="66"/>
      <c r="R13" s="66"/>
      <c r="S13" s="66"/>
      <c r="T13" s="66"/>
    </row>
    <row r="14" spans="2:32" x14ac:dyDescent="0.2">
      <c r="B14" s="25" t="s">
        <v>58</v>
      </c>
      <c r="C14" s="121">
        <v>560.62267340000005</v>
      </c>
      <c r="D14" s="28">
        <f t="shared" si="0"/>
        <v>7.2671903176367248E-3</v>
      </c>
      <c r="E14" s="121">
        <v>165851.70000000001</v>
      </c>
      <c r="F14" s="28">
        <f t="shared" si="1"/>
        <v>2.8793986612374936E-2</v>
      </c>
      <c r="G14" s="121">
        <v>144678.31690000001</v>
      </c>
      <c r="H14" s="28">
        <f t="shared" si="2"/>
        <v>2.9646709986336842E-2</v>
      </c>
      <c r="I14" s="121">
        <v>4393693.0539999995</v>
      </c>
      <c r="J14" s="28">
        <f t="shared" si="3"/>
        <v>6.3235049293940734E-2</v>
      </c>
      <c r="K14" s="121">
        <v>3781935.3259999999</v>
      </c>
      <c r="L14" s="28">
        <f t="shared" si="4"/>
        <v>6.9066721472532996E-2</v>
      </c>
      <c r="O14" s="65"/>
      <c r="P14" s="64"/>
      <c r="Q14" s="66"/>
      <c r="R14" s="66"/>
      <c r="S14" s="66"/>
      <c r="T14" s="66"/>
    </row>
    <row r="15" spans="2:32" x14ac:dyDescent="0.2">
      <c r="B15" s="94" t="s">
        <v>50</v>
      </c>
      <c r="C15" s="121">
        <v>250.4096193</v>
      </c>
      <c r="D15" s="28">
        <f t="shared" si="0"/>
        <v>3.245987804566839E-3</v>
      </c>
      <c r="E15" s="121">
        <v>200078.83100000001</v>
      </c>
      <c r="F15" s="28">
        <f t="shared" si="1"/>
        <v>3.4736256434113287E-2</v>
      </c>
      <c r="G15" s="121">
        <v>178397.1753</v>
      </c>
      <c r="H15" s="28">
        <f t="shared" si="2"/>
        <v>3.6556198826645278E-2</v>
      </c>
      <c r="I15" s="121">
        <v>8383837.7300000004</v>
      </c>
      <c r="J15" s="28">
        <f t="shared" si="3"/>
        <v>0.1206621367522025</v>
      </c>
      <c r="K15" s="121">
        <v>7792378.6200000001</v>
      </c>
      <c r="L15" s="28">
        <f t="shared" si="4"/>
        <v>0.14230651699834515</v>
      </c>
      <c r="O15" s="65"/>
      <c r="P15" s="64"/>
      <c r="Q15" s="66"/>
      <c r="R15" s="66"/>
      <c r="S15" s="66"/>
      <c r="T15" s="66"/>
    </row>
    <row r="16" spans="2:32" x14ac:dyDescent="0.2">
      <c r="B16" s="10" t="s">
        <v>0</v>
      </c>
      <c r="C16" s="90">
        <f>SUM(C5:C15)</f>
        <v>77144.350002699997</v>
      </c>
      <c r="D16" s="29">
        <f t="shared" ref="D16:L16" si="5">SUM(D5:D15)</f>
        <v>0.99999999999999989</v>
      </c>
      <c r="E16" s="90">
        <f t="shared" si="5"/>
        <v>5759942.2488000011</v>
      </c>
      <c r="F16" s="29">
        <f t="shared" si="5"/>
        <v>0.99999999999999989</v>
      </c>
      <c r="G16" s="90">
        <f t="shared" si="5"/>
        <v>4880080.0145000005</v>
      </c>
      <c r="H16" s="29">
        <f t="shared" si="5"/>
        <v>1</v>
      </c>
      <c r="I16" s="90">
        <f t="shared" si="5"/>
        <v>69481926.6065</v>
      </c>
      <c r="J16" s="29">
        <f t="shared" si="5"/>
        <v>1</v>
      </c>
      <c r="K16" s="90">
        <f t="shared" si="5"/>
        <v>54757707.407669991</v>
      </c>
      <c r="L16" s="29">
        <f t="shared" si="5"/>
        <v>1.0000000000000002</v>
      </c>
      <c r="O16" s="65"/>
      <c r="P16" s="64"/>
      <c r="Q16" s="66"/>
      <c r="R16" s="66"/>
      <c r="S16" s="66"/>
      <c r="T16" s="66"/>
    </row>
    <row r="17" spans="2:20" x14ac:dyDescent="0.2">
      <c r="O17" s="65"/>
      <c r="P17" s="64"/>
      <c r="Q17" s="66"/>
      <c r="R17" s="66"/>
      <c r="S17" s="66"/>
      <c r="T17" s="66"/>
    </row>
    <row r="18" spans="2:20" x14ac:dyDescent="0.2">
      <c r="B18" s="300" t="s">
        <v>432</v>
      </c>
      <c r="C18" s="292"/>
      <c r="D18" s="292"/>
      <c r="E18" s="292"/>
      <c r="F18" s="292"/>
      <c r="G18" s="292"/>
      <c r="H18" s="292"/>
      <c r="I18" s="292"/>
      <c r="J18" s="292"/>
      <c r="K18" s="292"/>
      <c r="L18" s="292"/>
      <c r="O18" s="65"/>
      <c r="P18" s="64"/>
      <c r="Q18" s="66"/>
      <c r="R18" s="66"/>
      <c r="S18" s="66"/>
      <c r="T18" s="66"/>
    </row>
    <row r="19" spans="2:20" x14ac:dyDescent="0.2">
      <c r="O19" s="65"/>
      <c r="P19" s="52"/>
      <c r="Q19" s="52"/>
      <c r="R19" s="52"/>
      <c r="S19" s="52"/>
      <c r="T19" s="52"/>
    </row>
    <row r="20" spans="2:20" x14ac:dyDescent="0.2">
      <c r="O20" s="65"/>
      <c r="P20" s="59"/>
      <c r="Q20" s="59"/>
      <c r="R20" s="59"/>
      <c r="S20" s="59"/>
      <c r="T20" s="59"/>
    </row>
    <row r="21" spans="2:20" x14ac:dyDescent="0.2">
      <c r="O21" s="65"/>
    </row>
    <row r="22" spans="2:20" x14ac:dyDescent="0.2">
      <c r="O22" s="65"/>
    </row>
    <row r="23" spans="2:20" x14ac:dyDescent="0.2">
      <c r="O23" s="65"/>
    </row>
    <row r="24" spans="2:20" x14ac:dyDescent="0.2">
      <c r="O24" s="65"/>
    </row>
    <row r="25" spans="2:20" x14ac:dyDescent="0.2">
      <c r="O25" s="65"/>
    </row>
    <row r="26" spans="2:20" x14ac:dyDescent="0.2">
      <c r="O26" s="65"/>
    </row>
    <row r="27" spans="2:20" x14ac:dyDescent="0.2">
      <c r="O27" s="65"/>
    </row>
    <row r="28" spans="2:20" x14ac:dyDescent="0.2">
      <c r="O28" s="65"/>
    </row>
    <row r="29" spans="2:20" x14ac:dyDescent="0.2">
      <c r="O29" s="65"/>
    </row>
    <row r="31" spans="2:20" x14ac:dyDescent="0.2">
      <c r="P31" s="59"/>
      <c r="Q31" s="59"/>
      <c r="R31" s="59"/>
      <c r="S31" s="59"/>
      <c r="T31" s="59"/>
    </row>
    <row r="32" spans="2:20" x14ac:dyDescent="0.2">
      <c r="P32" s="59"/>
      <c r="Q32" s="59"/>
      <c r="R32" s="59"/>
      <c r="S32" s="59"/>
      <c r="T32" s="59"/>
    </row>
    <row r="33" spans="16:20" x14ac:dyDescent="0.2">
      <c r="P33" s="59"/>
      <c r="Q33" s="59"/>
      <c r="R33" s="59"/>
      <c r="S33" s="59"/>
      <c r="T33" s="59"/>
    </row>
    <row r="34" spans="16:20" x14ac:dyDescent="0.2">
      <c r="Q34" s="59"/>
      <c r="R34" s="59"/>
      <c r="S34" s="59"/>
      <c r="T34" s="59"/>
    </row>
    <row r="35" spans="16:20" x14ac:dyDescent="0.2">
      <c r="Q35" s="59"/>
      <c r="R35" s="59"/>
      <c r="S35" s="59"/>
      <c r="T35" s="59"/>
    </row>
    <row r="36" spans="16:20" x14ac:dyDescent="0.2">
      <c r="Q36" s="59"/>
      <c r="R36" s="59"/>
      <c r="S36" s="59"/>
      <c r="T36" s="59"/>
    </row>
    <row r="37" spans="16:20" x14ac:dyDescent="0.2">
      <c r="Q37" s="59"/>
      <c r="R37" s="59"/>
      <c r="S37" s="59"/>
      <c r="T37" s="59"/>
    </row>
    <row r="38" spans="16:20" x14ac:dyDescent="0.2">
      <c r="Q38" s="59"/>
      <c r="R38" s="59"/>
      <c r="S38" s="59"/>
      <c r="T38" s="59"/>
    </row>
    <row r="39" spans="16:20" x14ac:dyDescent="0.2">
      <c r="Q39" s="59"/>
      <c r="R39" s="59"/>
      <c r="S39" s="59"/>
      <c r="T39" s="59"/>
    </row>
    <row r="40" spans="16:20" x14ac:dyDescent="0.2">
      <c r="Q40" s="59"/>
      <c r="R40" s="59"/>
      <c r="S40" s="59"/>
      <c r="T40" s="59"/>
    </row>
    <row r="41" spans="16:20" x14ac:dyDescent="0.2">
      <c r="Q41" s="59"/>
      <c r="R41" s="59"/>
      <c r="S41" s="59"/>
      <c r="T41" s="59"/>
    </row>
    <row r="42" spans="16:20" x14ac:dyDescent="0.2">
      <c r="Q42" s="59"/>
      <c r="R42" s="59"/>
      <c r="S42" s="59"/>
      <c r="T42" s="59"/>
    </row>
    <row r="43" spans="16:20" x14ac:dyDescent="0.2">
      <c r="Q43" s="59"/>
      <c r="R43" s="59"/>
      <c r="S43" s="59"/>
      <c r="T43" s="59"/>
    </row>
    <row r="44" spans="16:20" x14ac:dyDescent="0.2">
      <c r="Q44" s="59"/>
      <c r="R44" s="59"/>
      <c r="S44" s="59"/>
      <c r="T44" s="59"/>
    </row>
    <row r="45" spans="16:20" x14ac:dyDescent="0.2">
      <c r="Q45" s="59"/>
      <c r="R45" s="59"/>
      <c r="S45" s="59"/>
      <c r="T45" s="59"/>
    </row>
  </sheetData>
  <mergeCells count="7">
    <mergeCell ref="B18:L18"/>
    <mergeCell ref="B3:B4"/>
    <mergeCell ref="C3:D3"/>
    <mergeCell ref="E3:F3"/>
    <mergeCell ref="G3:H3"/>
    <mergeCell ref="I3:J3"/>
    <mergeCell ref="K3:L3"/>
  </mergeCells>
  <pageMargins left="0.78740157480314965" right="0.78740157480314965" top="0.98425196850393704" bottom="0.98425196850393704" header="0.51181102362204722" footer="0.51181102362204722"/>
  <pageSetup paperSize="9" scale="8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C9BD"/>
    <pageSetUpPr fitToPage="1"/>
  </sheetPr>
  <dimension ref="B1:Y40"/>
  <sheetViews>
    <sheetView view="pageBreakPreview" zoomScaleNormal="100" zoomScaleSheetLayoutView="100" workbookViewId="0">
      <selection activeCell="B1" sqref="B1"/>
    </sheetView>
  </sheetViews>
  <sheetFormatPr baseColWidth="10" defaultRowHeight="12.75" x14ac:dyDescent="0.2"/>
  <cols>
    <col min="1" max="1" width="2" style="76" customWidth="1"/>
    <col min="2" max="2" width="41.28515625" style="76" customWidth="1"/>
    <col min="3" max="6" width="16.7109375" style="76" customWidth="1"/>
    <col min="7" max="7" width="12.7109375" style="76" customWidth="1"/>
    <col min="8" max="16384" width="11.42578125" style="76"/>
  </cols>
  <sheetData>
    <row r="1" spans="2:25" s="11" customFormat="1" ht="15.75" x14ac:dyDescent="0.2">
      <c r="B1" s="186" t="str">
        <f>Inhaltsverzeichnis!B49&amp;" "&amp;Inhaltsverzeichnis!C49&amp;" "&amp;Inhaltsverzeichnis!E49</f>
        <v>Tabelle 18: Zusammensetzung des Reineinkommens und des Reinvermögens der Altersrentnerinnen und -rentner nach Zivilstand und Altersklasse, 2014</v>
      </c>
      <c r="C1" s="187"/>
      <c r="D1" s="187"/>
      <c r="E1" s="187"/>
      <c r="F1" s="187"/>
      <c r="G1" s="187"/>
      <c r="H1" s="187"/>
      <c r="I1" s="187"/>
      <c r="J1" s="187"/>
      <c r="K1" s="187"/>
      <c r="L1" s="187"/>
      <c r="M1" s="187"/>
      <c r="N1" s="187"/>
      <c r="O1" s="187"/>
      <c r="P1" s="187"/>
      <c r="Q1" s="73"/>
      <c r="R1" s="73"/>
      <c r="S1" s="73"/>
      <c r="T1" s="73"/>
      <c r="U1" s="73"/>
      <c r="V1" s="73"/>
      <c r="W1" s="73"/>
      <c r="X1" s="73"/>
      <c r="Y1" s="73"/>
    </row>
    <row r="3" spans="2:25" x14ac:dyDescent="0.2">
      <c r="B3" s="278" t="s">
        <v>565</v>
      </c>
      <c r="C3" s="329" t="s">
        <v>106</v>
      </c>
      <c r="D3" s="335"/>
      <c r="E3" s="329" t="s">
        <v>67</v>
      </c>
      <c r="F3" s="273"/>
      <c r="G3" s="274" t="s">
        <v>0</v>
      </c>
    </row>
    <row r="4" spans="2:25" s="45" customFormat="1" x14ac:dyDescent="0.2">
      <c r="B4" s="305"/>
      <c r="C4" s="333"/>
      <c r="D4" s="336"/>
      <c r="E4" s="333"/>
      <c r="F4" s="334"/>
      <c r="G4" s="314"/>
    </row>
    <row r="5" spans="2:25" s="45" customFormat="1" x14ac:dyDescent="0.2">
      <c r="B5" s="105"/>
      <c r="C5" s="47" t="s">
        <v>107</v>
      </c>
      <c r="D5" s="74" t="s">
        <v>108</v>
      </c>
      <c r="E5" s="47" t="s">
        <v>107</v>
      </c>
      <c r="F5" s="74" t="s">
        <v>108</v>
      </c>
      <c r="G5" s="305"/>
    </row>
    <row r="6" spans="2:25" s="45" customFormat="1" ht="14.25" x14ac:dyDescent="0.2">
      <c r="B6" s="234" t="s">
        <v>421</v>
      </c>
      <c r="C6" s="206">
        <v>24965.967939999999</v>
      </c>
      <c r="D6" s="206">
        <v>15464.75315</v>
      </c>
      <c r="E6" s="206">
        <v>29653.574550000001</v>
      </c>
      <c r="F6" s="206">
        <v>7060.0543799999996</v>
      </c>
      <c r="G6" s="206">
        <v>77144.350009999995</v>
      </c>
    </row>
    <row r="7" spans="2:25" x14ac:dyDescent="0.2">
      <c r="B7" s="293" t="s">
        <v>563</v>
      </c>
      <c r="C7" s="294"/>
      <c r="D7" s="294"/>
      <c r="E7" s="294"/>
      <c r="F7" s="294"/>
      <c r="G7" s="295"/>
      <c r="H7" s="99"/>
      <c r="I7" s="99"/>
      <c r="J7" s="99"/>
      <c r="K7" s="99"/>
    </row>
    <row r="8" spans="2:25" x14ac:dyDescent="0.2">
      <c r="B8" s="239" t="s">
        <v>69</v>
      </c>
      <c r="C8" s="207">
        <v>3707.3489</v>
      </c>
      <c r="D8" s="207">
        <v>258.322</v>
      </c>
      <c r="E8" s="207">
        <v>8072.1760000000004</v>
      </c>
      <c r="F8" s="207">
        <v>760.78070000000002</v>
      </c>
      <c r="G8" s="207">
        <v>4424.076</v>
      </c>
    </row>
    <row r="9" spans="2:25" x14ac:dyDescent="0.2">
      <c r="B9" s="239" t="s">
        <v>70</v>
      </c>
      <c r="C9" s="207">
        <v>0</v>
      </c>
      <c r="D9" s="207">
        <v>0</v>
      </c>
      <c r="E9" s="207">
        <v>7265.6727000000001</v>
      </c>
      <c r="F9" s="207">
        <v>721.77</v>
      </c>
      <c r="G9" s="207">
        <v>2858.9119000000001</v>
      </c>
    </row>
    <row r="10" spans="2:25" x14ac:dyDescent="0.2">
      <c r="B10" s="239" t="s">
        <v>71</v>
      </c>
      <c r="C10" s="207">
        <v>1299.5473999999999</v>
      </c>
      <c r="D10" s="207">
        <v>233.46860000000001</v>
      </c>
      <c r="E10" s="207">
        <v>3212.7928000000002</v>
      </c>
      <c r="F10" s="207">
        <v>551.77279999999996</v>
      </c>
      <c r="G10" s="207">
        <v>1752.8352</v>
      </c>
    </row>
    <row r="11" spans="2:25" x14ac:dyDescent="0.2">
      <c r="B11" s="239" t="s">
        <v>72</v>
      </c>
      <c r="C11" s="207">
        <v>0</v>
      </c>
      <c r="D11" s="207">
        <v>0</v>
      </c>
      <c r="E11" s="207">
        <v>821.16039999999998</v>
      </c>
      <c r="F11" s="207">
        <v>210.667</v>
      </c>
      <c r="G11" s="207">
        <v>334.92619999999999</v>
      </c>
    </row>
    <row r="12" spans="2:25" x14ac:dyDescent="0.2">
      <c r="B12" s="240" t="s">
        <v>630</v>
      </c>
      <c r="C12" s="207">
        <v>38190.029300000002</v>
      </c>
      <c r="D12" s="207">
        <v>36220.714699999997</v>
      </c>
      <c r="E12" s="207">
        <v>44120.565399999999</v>
      </c>
      <c r="F12" s="207">
        <v>39895.874000000003</v>
      </c>
      <c r="G12" s="207">
        <v>40231.008199999997</v>
      </c>
    </row>
    <row r="13" spans="2:25" x14ac:dyDescent="0.2">
      <c r="B13" s="240" t="s">
        <v>73</v>
      </c>
      <c r="C13" s="207">
        <v>0</v>
      </c>
      <c r="D13" s="207">
        <v>0</v>
      </c>
      <c r="E13" s="207">
        <v>17571.365699999998</v>
      </c>
      <c r="F13" s="207">
        <v>21418.183700000001</v>
      </c>
      <c r="G13" s="207">
        <v>8714.4079999999994</v>
      </c>
    </row>
    <row r="14" spans="2:25" x14ac:dyDescent="0.2">
      <c r="B14" s="240" t="s">
        <v>603</v>
      </c>
      <c r="C14" s="207">
        <v>3927.2860999999998</v>
      </c>
      <c r="D14" s="207">
        <v>4444.2882</v>
      </c>
      <c r="E14" s="207">
        <v>8836.1926000000003</v>
      </c>
      <c r="F14" s="207">
        <v>8039.0298000000003</v>
      </c>
      <c r="G14" s="207">
        <v>6294.1615000000002</v>
      </c>
    </row>
    <row r="15" spans="2:25" x14ac:dyDescent="0.2">
      <c r="B15" s="240" t="s">
        <v>74</v>
      </c>
      <c r="C15" s="207">
        <v>6912.3252000000002</v>
      </c>
      <c r="D15" s="207">
        <v>6930.2431999999999</v>
      </c>
      <c r="E15" s="207">
        <v>12914.4679</v>
      </c>
      <c r="F15" s="207">
        <v>11659.0628</v>
      </c>
      <c r="G15" s="207">
        <v>9657.4946</v>
      </c>
    </row>
    <row r="16" spans="2:25" x14ac:dyDescent="0.2">
      <c r="B16" s="240" t="s">
        <v>75</v>
      </c>
      <c r="C16" s="207">
        <v>584.98479999999995</v>
      </c>
      <c r="D16" s="207">
        <v>204.98509999999999</v>
      </c>
      <c r="E16" s="207">
        <v>188.81620000000001</v>
      </c>
      <c r="F16" s="207">
        <v>150.61580000000001</v>
      </c>
      <c r="G16" s="207">
        <v>316.7722</v>
      </c>
    </row>
    <row r="17" spans="2:22" ht="14.25" x14ac:dyDescent="0.2">
      <c r="B17" s="230" t="s">
        <v>424</v>
      </c>
      <c r="C17" s="185">
        <v>54694.27</v>
      </c>
      <c r="D17" s="185">
        <v>48327.71</v>
      </c>
      <c r="E17" s="185">
        <v>103124.58</v>
      </c>
      <c r="F17" s="185">
        <v>83435.37</v>
      </c>
      <c r="G17" s="185">
        <v>74664.47</v>
      </c>
    </row>
    <row r="18" spans="2:22" x14ac:dyDescent="0.2">
      <c r="B18" s="296" t="s">
        <v>599</v>
      </c>
      <c r="C18" s="297"/>
      <c r="D18" s="297"/>
      <c r="E18" s="297"/>
      <c r="F18" s="297"/>
      <c r="G18" s="297"/>
    </row>
    <row r="19" spans="2:22" x14ac:dyDescent="0.2">
      <c r="B19" s="240" t="s">
        <v>78</v>
      </c>
      <c r="C19" s="35">
        <v>406.8279</v>
      </c>
      <c r="D19" s="35">
        <v>25.594999999999999</v>
      </c>
      <c r="E19" s="35">
        <v>1563.9395999999999</v>
      </c>
      <c r="F19" s="35">
        <v>176.06190000000001</v>
      </c>
      <c r="G19" s="35">
        <v>754.06790000000001</v>
      </c>
    </row>
    <row r="20" spans="2:22" x14ac:dyDescent="0.2">
      <c r="B20" s="240" t="s">
        <v>79</v>
      </c>
      <c r="C20" s="35">
        <v>2664.377</v>
      </c>
      <c r="D20" s="35">
        <v>1252.4375</v>
      </c>
      <c r="E20" s="35">
        <v>5740.3224</v>
      </c>
      <c r="F20" s="35">
        <v>2527.2982999999999</v>
      </c>
      <c r="G20" s="35">
        <v>3551.1522</v>
      </c>
    </row>
    <row r="21" spans="2:22" x14ac:dyDescent="0.2">
      <c r="B21" s="240" t="s">
        <v>80</v>
      </c>
      <c r="C21" s="35">
        <v>255.90860000000001</v>
      </c>
      <c r="D21" s="35">
        <v>0</v>
      </c>
      <c r="E21" s="35">
        <v>1434.3577</v>
      </c>
      <c r="F21" s="35">
        <v>59.0002</v>
      </c>
      <c r="G21" s="35">
        <v>639.57219999999995</v>
      </c>
    </row>
    <row r="22" spans="2:22" x14ac:dyDescent="0.2">
      <c r="B22" s="240" t="s">
        <v>81</v>
      </c>
      <c r="C22" s="35">
        <v>2002.8628000000001</v>
      </c>
      <c r="D22" s="35">
        <v>2000.0436999999999</v>
      </c>
      <c r="E22" s="35">
        <v>3999.2878999999998</v>
      </c>
      <c r="F22" s="35">
        <v>3999.0358999999999</v>
      </c>
      <c r="G22" s="35">
        <v>2952.3897000000002</v>
      </c>
    </row>
    <row r="23" spans="2:22" x14ac:dyDescent="0.2">
      <c r="B23" s="240" t="s">
        <v>82</v>
      </c>
      <c r="C23" s="35">
        <v>2845.8235</v>
      </c>
      <c r="D23" s="35">
        <v>7565.6090999999997</v>
      </c>
      <c r="E23" s="35">
        <v>2768.2150000000001</v>
      </c>
      <c r="F23" s="35">
        <v>5460.4695000000002</v>
      </c>
      <c r="G23" s="35">
        <v>4001.4297000000001</v>
      </c>
    </row>
    <row r="24" spans="2:22" x14ac:dyDescent="0.2">
      <c r="B24" s="230" t="s">
        <v>87</v>
      </c>
      <c r="C24" s="31">
        <v>8175.7996999999996</v>
      </c>
      <c r="D24" s="31">
        <v>10843.685299999999</v>
      </c>
      <c r="E24" s="31">
        <v>15506.122600000001</v>
      </c>
      <c r="F24" s="31">
        <v>12221.8658</v>
      </c>
      <c r="G24" s="31">
        <v>11898.611800000001</v>
      </c>
    </row>
    <row r="25" spans="2:22" x14ac:dyDescent="0.2">
      <c r="B25" s="296" t="s">
        <v>30</v>
      </c>
      <c r="C25" s="297"/>
      <c r="D25" s="297"/>
      <c r="E25" s="297"/>
      <c r="F25" s="297"/>
      <c r="G25" s="297"/>
    </row>
    <row r="26" spans="2:22" ht="14.25" x14ac:dyDescent="0.2">
      <c r="B26" s="230" t="s">
        <v>423</v>
      </c>
      <c r="C26" s="31">
        <v>46881.09</v>
      </c>
      <c r="D26" s="31">
        <v>38975.78</v>
      </c>
      <c r="E26" s="31">
        <v>87725.52</v>
      </c>
      <c r="F26" s="31">
        <v>71603.149999999994</v>
      </c>
      <c r="G26" s="31">
        <v>63259.07</v>
      </c>
    </row>
    <row r="27" spans="2:22" x14ac:dyDescent="0.2">
      <c r="B27" s="296" t="s">
        <v>564</v>
      </c>
      <c r="C27" s="297"/>
      <c r="D27" s="297"/>
      <c r="E27" s="297"/>
      <c r="F27" s="297"/>
      <c r="G27" s="297"/>
    </row>
    <row r="28" spans="2:22" x14ac:dyDescent="0.2">
      <c r="B28" s="240" t="s">
        <v>83</v>
      </c>
      <c r="C28" s="35">
        <v>315454.27350000001</v>
      </c>
      <c r="D28" s="35">
        <v>486265.97960000002</v>
      </c>
      <c r="E28" s="35">
        <v>591698.59950000001</v>
      </c>
      <c r="F28" s="35">
        <v>613495.55160000001</v>
      </c>
      <c r="G28" s="35">
        <v>483157.80869999999</v>
      </c>
    </row>
    <row r="29" spans="2:22" x14ac:dyDescent="0.2">
      <c r="B29" s="240" t="s">
        <v>631</v>
      </c>
      <c r="C29" s="35">
        <v>12401.178599999999</v>
      </c>
      <c r="D29" s="35">
        <v>2394.9908999999998</v>
      </c>
      <c r="E29" s="35">
        <v>24606.767</v>
      </c>
      <c r="F29" s="35">
        <v>7993.3936000000003</v>
      </c>
      <c r="G29" s="35">
        <v>14683.612800000001</v>
      </c>
    </row>
    <row r="30" spans="2:22" x14ac:dyDescent="0.2">
      <c r="B30" s="240" t="s">
        <v>84</v>
      </c>
      <c r="C30" s="35">
        <v>258311.95740000001</v>
      </c>
      <c r="D30" s="35">
        <v>239428.36480000001</v>
      </c>
      <c r="E30" s="35">
        <v>534304.23800000001</v>
      </c>
      <c r="F30" s="35">
        <v>428180.31910000002</v>
      </c>
      <c r="G30" s="35">
        <v>376161.25469999999</v>
      </c>
    </row>
    <row r="31" spans="2:22" x14ac:dyDescent="0.2">
      <c r="B31" s="240" t="s">
        <v>624</v>
      </c>
      <c r="C31" s="35">
        <v>9074.9416999999994</v>
      </c>
      <c r="D31" s="35">
        <v>5349.6558000000005</v>
      </c>
      <c r="E31" s="35">
        <v>25017.166000000001</v>
      </c>
      <c r="F31" s="35">
        <v>10936.437400000001</v>
      </c>
      <c r="G31" s="35">
        <v>14626.554599999999</v>
      </c>
      <c r="L31" s="292"/>
      <c r="M31" s="292"/>
      <c r="N31" s="292"/>
      <c r="O31" s="292"/>
      <c r="P31" s="292"/>
      <c r="Q31" s="292"/>
      <c r="R31" s="292"/>
      <c r="S31" s="292"/>
      <c r="T31" s="292"/>
      <c r="U31" s="292"/>
      <c r="V31" s="292"/>
    </row>
    <row r="32" spans="2:22" x14ac:dyDescent="0.2">
      <c r="B32" s="240" t="s">
        <v>85</v>
      </c>
      <c r="C32" s="35">
        <v>8507.0602999999992</v>
      </c>
      <c r="D32" s="35">
        <v>4919.2434999999996</v>
      </c>
      <c r="E32" s="35">
        <v>18822.6852</v>
      </c>
      <c r="F32" s="35">
        <v>11115.5255</v>
      </c>
      <c r="G32" s="35">
        <v>11991.779</v>
      </c>
    </row>
    <row r="33" spans="2:22" ht="14.25" x14ac:dyDescent="0.2">
      <c r="B33" s="230" t="s">
        <v>422</v>
      </c>
      <c r="C33" s="31">
        <v>603900</v>
      </c>
      <c r="D33" s="31">
        <v>738358.24</v>
      </c>
      <c r="E33" s="31">
        <v>1194461.08</v>
      </c>
      <c r="F33" s="31">
        <v>1071721.23</v>
      </c>
      <c r="G33" s="31">
        <v>900674.21</v>
      </c>
      <c r="K33" s="48"/>
      <c r="L33" s="48"/>
      <c r="M33" s="48"/>
      <c r="N33" s="48"/>
      <c r="O33" s="48"/>
      <c r="P33" s="48"/>
      <c r="Q33" s="48"/>
      <c r="R33" s="48"/>
      <c r="S33" s="48"/>
      <c r="T33" s="48"/>
      <c r="U33" s="48"/>
      <c r="V33" s="48"/>
    </row>
    <row r="34" spans="2:22" x14ac:dyDescent="0.2">
      <c r="B34" s="296" t="s">
        <v>86</v>
      </c>
      <c r="C34" s="297"/>
      <c r="D34" s="297"/>
      <c r="E34" s="297"/>
      <c r="F34" s="297"/>
      <c r="G34" s="297"/>
      <c r="K34" s="48"/>
      <c r="L34" s="48"/>
      <c r="M34" s="48"/>
      <c r="N34" s="48"/>
      <c r="O34" s="48"/>
      <c r="P34" s="48"/>
      <c r="Q34" s="48"/>
      <c r="R34" s="48"/>
      <c r="S34" s="48"/>
      <c r="T34" s="48"/>
      <c r="U34" s="48"/>
      <c r="V34" s="48"/>
    </row>
    <row r="35" spans="2:22" x14ac:dyDescent="0.2">
      <c r="B35" s="230" t="s">
        <v>86</v>
      </c>
      <c r="C35" s="31">
        <v>142388.26</v>
      </c>
      <c r="D35" s="31">
        <v>68207.28</v>
      </c>
      <c r="E35" s="31">
        <v>312809.90000000002</v>
      </c>
      <c r="F35" s="31">
        <v>139886.38</v>
      </c>
      <c r="G35" s="31">
        <v>192797.1</v>
      </c>
      <c r="K35" s="48"/>
      <c r="L35" s="48"/>
      <c r="M35" s="48"/>
      <c r="N35" s="48"/>
      <c r="O35" s="48"/>
      <c r="P35" s="48"/>
      <c r="Q35" s="48"/>
      <c r="R35" s="48"/>
      <c r="S35" s="48"/>
      <c r="T35" s="48"/>
      <c r="U35" s="48"/>
      <c r="V35" s="48"/>
    </row>
    <row r="36" spans="2:22" x14ac:dyDescent="0.2">
      <c r="B36" s="296" t="s">
        <v>32</v>
      </c>
      <c r="C36" s="297"/>
      <c r="D36" s="297"/>
      <c r="E36" s="297"/>
      <c r="F36" s="297"/>
      <c r="G36" s="297"/>
      <c r="K36" s="48"/>
      <c r="L36" s="48"/>
      <c r="M36" s="48"/>
      <c r="N36" s="48"/>
      <c r="O36" s="48"/>
      <c r="P36" s="48"/>
      <c r="Q36" s="48"/>
      <c r="R36" s="48"/>
      <c r="S36" s="48"/>
      <c r="T36" s="48"/>
      <c r="U36" s="48"/>
      <c r="V36" s="48"/>
    </row>
    <row r="37" spans="2:22" ht="14.25" x14ac:dyDescent="0.2">
      <c r="B37" s="230" t="s">
        <v>426</v>
      </c>
      <c r="C37" s="31">
        <v>463579.77</v>
      </c>
      <c r="D37" s="31">
        <v>670807.23</v>
      </c>
      <c r="E37" s="31">
        <v>884229.93</v>
      </c>
      <c r="F37" s="31">
        <v>933355.91</v>
      </c>
      <c r="G37" s="31">
        <v>709808.4</v>
      </c>
      <c r="K37" s="48"/>
      <c r="L37" s="48"/>
      <c r="M37" s="48"/>
      <c r="N37" s="48"/>
      <c r="O37" s="48"/>
      <c r="P37" s="48"/>
      <c r="Q37" s="48"/>
      <c r="R37" s="48"/>
      <c r="S37" s="48"/>
      <c r="T37" s="48"/>
      <c r="U37" s="48"/>
      <c r="V37" s="48"/>
    </row>
    <row r="38" spans="2:22" x14ac:dyDescent="0.2">
      <c r="K38" s="48"/>
      <c r="L38" s="48"/>
      <c r="M38" s="48"/>
      <c r="N38" s="48"/>
      <c r="O38" s="48"/>
      <c r="P38" s="48"/>
      <c r="Q38" s="48"/>
      <c r="R38" s="48"/>
      <c r="S38" s="48"/>
      <c r="T38" s="48"/>
      <c r="U38" s="48"/>
      <c r="V38" s="48"/>
    </row>
    <row r="39" spans="2:22" x14ac:dyDescent="0.2">
      <c r="B39" s="300" t="s">
        <v>432</v>
      </c>
      <c r="C39" s="292"/>
      <c r="D39" s="292"/>
      <c r="E39" s="292"/>
      <c r="F39" s="292"/>
      <c r="G39" s="292"/>
    </row>
    <row r="40" spans="2:22" ht="37.5" customHeight="1" x14ac:dyDescent="0.2">
      <c r="B40" s="298" t="s">
        <v>632</v>
      </c>
      <c r="C40" s="299"/>
      <c r="D40" s="299"/>
      <c r="E40" s="299"/>
      <c r="F40" s="299"/>
      <c r="G40" s="299"/>
    </row>
  </sheetData>
  <mergeCells count="14">
    <mergeCell ref="B34:G34"/>
    <mergeCell ref="B36:G36"/>
    <mergeCell ref="B40:G40"/>
    <mergeCell ref="C3:D4"/>
    <mergeCell ref="B7:G7"/>
    <mergeCell ref="B18:G18"/>
    <mergeCell ref="B25:G25"/>
    <mergeCell ref="B27:G27"/>
    <mergeCell ref="B39:G39"/>
    <mergeCell ref="L31:R31"/>
    <mergeCell ref="S31:V31"/>
    <mergeCell ref="B3:B4"/>
    <mergeCell ref="E3:F4"/>
    <mergeCell ref="G3:G5"/>
  </mergeCells>
  <pageMargins left="0.78740157480314965" right="0.78740157480314965" top="0.98425196850393704" bottom="0.98425196850393704" header="0.51181102362204722" footer="0.51181102362204722"/>
  <pageSetup paperSize="9" scale="78" orientation="landscape" r:id="rId1"/>
  <headerFooter alignWithMargins="0"/>
  <rowBreaks count="1" manualBreakCount="1">
    <brk id="49" max="1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C9BD"/>
    <pageSetUpPr fitToPage="1"/>
  </sheetPr>
  <dimension ref="B1:AF19"/>
  <sheetViews>
    <sheetView view="pageBreakPreview" zoomScaleNormal="100" zoomScaleSheetLayoutView="100" zoomScalePageLayoutView="70" workbookViewId="0">
      <selection activeCell="M17" sqref="M17"/>
    </sheetView>
  </sheetViews>
  <sheetFormatPr baseColWidth="10" defaultRowHeight="12.75" x14ac:dyDescent="0.2"/>
  <cols>
    <col min="1" max="1" width="2" style="76" customWidth="1"/>
    <col min="2" max="2" width="16.28515625" style="76" customWidth="1"/>
    <col min="3" max="3" width="13.140625" style="76" customWidth="1"/>
    <col min="4" max="4" width="10.42578125" style="76" customWidth="1"/>
    <col min="5" max="5" width="12.140625" style="76" customWidth="1"/>
    <col min="6" max="6" width="10.42578125" style="76" customWidth="1"/>
    <col min="7" max="7" width="13.140625" style="76" customWidth="1"/>
    <col min="8" max="8" width="10.42578125" style="76" customWidth="1"/>
    <col min="9" max="9" width="12" style="76" bestFit="1" customWidth="1"/>
    <col min="10" max="10" width="10.42578125" style="76" customWidth="1"/>
    <col min="11" max="11" width="12.140625" style="76" customWidth="1"/>
    <col min="12" max="12" width="10.42578125" style="76" customWidth="1"/>
    <col min="13" max="13" width="12.140625" style="76" customWidth="1"/>
    <col min="14" max="14" width="10.42578125" style="76" customWidth="1"/>
    <col min="15" max="16384" width="11.42578125" style="76"/>
  </cols>
  <sheetData>
    <row r="1" spans="2:32" s="11" customFormat="1" ht="15.75" x14ac:dyDescent="0.2">
      <c r="B1" s="186" t="str">
        <f>Inhaltsverzeichnis!B50&amp;" "&amp;Inhaltsverzeichnis!C50&amp;" "&amp;Inhaltsverzeichnis!E50</f>
        <v>Tabelle 19: Verteilung der Altersrentnerinnen und -rentner, Steuerfaktoren und Steuern nach Stufen des steuerbaren 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541</v>
      </c>
      <c r="C3" s="287" t="s">
        <v>420</v>
      </c>
      <c r="D3" s="283"/>
      <c r="E3" s="282" t="s">
        <v>109</v>
      </c>
      <c r="F3" s="286"/>
      <c r="G3" s="282" t="s">
        <v>110</v>
      </c>
      <c r="H3" s="283"/>
      <c r="I3" s="282" t="s">
        <v>122</v>
      </c>
      <c r="J3" s="283"/>
      <c r="K3" s="282" t="s">
        <v>123</v>
      </c>
      <c r="L3" s="283"/>
      <c r="M3" s="282" t="s">
        <v>124</v>
      </c>
      <c r="N3" s="283"/>
    </row>
    <row r="4" spans="2:32" ht="24.75" customHeight="1" x14ac:dyDescent="0.2">
      <c r="B4" s="285"/>
      <c r="C4" s="47" t="s">
        <v>1</v>
      </c>
      <c r="D4" s="47" t="s">
        <v>2</v>
      </c>
      <c r="E4" s="47" t="s">
        <v>3</v>
      </c>
      <c r="F4" s="47" t="s">
        <v>2</v>
      </c>
      <c r="G4" s="47" t="s">
        <v>3</v>
      </c>
      <c r="H4" s="47" t="s">
        <v>2</v>
      </c>
      <c r="I4" s="47" t="s">
        <v>3</v>
      </c>
      <c r="J4" s="47" t="s">
        <v>2</v>
      </c>
      <c r="K4" s="47" t="s">
        <v>3</v>
      </c>
      <c r="L4" s="47" t="s">
        <v>2</v>
      </c>
      <c r="M4" s="47" t="s">
        <v>3</v>
      </c>
      <c r="N4" s="47" t="s">
        <v>2</v>
      </c>
    </row>
    <row r="5" spans="2:32" x14ac:dyDescent="0.2">
      <c r="B5" s="25">
        <v>0</v>
      </c>
      <c r="C5" s="121">
        <v>5584.7638450000004</v>
      </c>
      <c r="D5" s="209">
        <f>C5/SUM($C$5:$C$16)</f>
        <v>6.8783870370073524E-2</v>
      </c>
      <c r="E5" s="121">
        <v>0</v>
      </c>
      <c r="F5" s="209">
        <f>E5/SUM($E$5:$E$16)</f>
        <v>0</v>
      </c>
      <c r="G5" s="121">
        <v>873617.69880000001</v>
      </c>
      <c r="H5" s="209">
        <f>G5/SUM($G$5:$G$16)</f>
        <v>1.9869933292227793E-2</v>
      </c>
      <c r="I5" s="121">
        <v>0</v>
      </c>
      <c r="J5" s="209">
        <f>I5/SUM($I$5:$I$16)</f>
        <v>0</v>
      </c>
      <c r="K5" s="121">
        <v>1430.4395039999999</v>
      </c>
      <c r="L5" s="209">
        <f>K5/SUM($K$5:$K$16)</f>
        <v>1.9438657519086147E-2</v>
      </c>
      <c r="M5" s="121">
        <v>1430.4395039999999</v>
      </c>
      <c r="N5" s="209">
        <f>M5/SUM($M$5:$M$16)</f>
        <v>4.5722398094740534E-3</v>
      </c>
    </row>
    <row r="6" spans="2:32" x14ac:dyDescent="0.2">
      <c r="B6" s="25" t="s">
        <v>38</v>
      </c>
      <c r="C6" s="121">
        <v>2938.108432</v>
      </c>
      <c r="D6" s="209">
        <f t="shared" ref="D6:D16" si="0">C6/SUM($C$5:$C$16)</f>
        <v>3.6186752945845994E-2</v>
      </c>
      <c r="E6" s="121">
        <v>14615.497100000001</v>
      </c>
      <c r="F6" s="209">
        <f t="shared" ref="F6:F16" si="1">E6/SUM($E$5:$E$16)</f>
        <v>3.0888308468747135E-3</v>
      </c>
      <c r="G6" s="121">
        <v>407571.35649999999</v>
      </c>
      <c r="H6" s="209">
        <f t="shared" ref="H6:H16" si="2">G6/SUM($G$5:$G$16)</f>
        <v>9.2699766460795884E-3</v>
      </c>
      <c r="I6" s="121">
        <v>305.30990869999999</v>
      </c>
      <c r="J6" s="209">
        <f t="shared" ref="J6:J16" si="3">I6/SUM($I$5:$I$16)</f>
        <v>1.2760284034790308E-3</v>
      </c>
      <c r="K6" s="121">
        <v>641.32342389999997</v>
      </c>
      <c r="L6" s="209">
        <f t="shared" ref="L6:L16" si="4">K6/SUM($K$5:$K$16)</f>
        <v>8.7151301130172151E-3</v>
      </c>
      <c r="M6" s="121">
        <v>946.63333260000002</v>
      </c>
      <c r="N6" s="209">
        <f t="shared" ref="N6:N16" si="5">M6/SUM($M$5:$M$16)</f>
        <v>3.0258075201262144E-3</v>
      </c>
    </row>
    <row r="7" spans="2:32" x14ac:dyDescent="0.2">
      <c r="B7" s="25" t="s">
        <v>39</v>
      </c>
      <c r="C7" s="121">
        <v>4484.2868280000002</v>
      </c>
      <c r="D7" s="209">
        <f t="shared" si="0"/>
        <v>5.523001731855328E-2</v>
      </c>
      <c r="E7" s="121">
        <v>69378.660260000004</v>
      </c>
      <c r="F7" s="209">
        <f t="shared" si="1"/>
        <v>1.4662446611270502E-2</v>
      </c>
      <c r="G7" s="121">
        <v>591642.07039999997</v>
      </c>
      <c r="H7" s="209">
        <f t="shared" si="2"/>
        <v>1.345655941708989E-2</v>
      </c>
      <c r="I7" s="121">
        <v>1456.7302050000001</v>
      </c>
      <c r="J7" s="209">
        <f t="shared" si="3"/>
        <v>6.0883353760140552E-3</v>
      </c>
      <c r="K7" s="121">
        <v>900.36623440000005</v>
      </c>
      <c r="L7" s="209">
        <f t="shared" si="4"/>
        <v>1.2235338036533171E-2</v>
      </c>
      <c r="M7" s="121">
        <v>2357.0964399999998</v>
      </c>
      <c r="N7" s="209">
        <f t="shared" si="5"/>
        <v>7.5341950132115261E-3</v>
      </c>
    </row>
    <row r="8" spans="2:32" x14ac:dyDescent="0.2">
      <c r="B8" s="25" t="s">
        <v>40</v>
      </c>
      <c r="C8" s="121">
        <v>8496.1406609999995</v>
      </c>
      <c r="D8" s="209">
        <f t="shared" si="0"/>
        <v>0.10464138754861436</v>
      </c>
      <c r="E8" s="121">
        <v>210786.228</v>
      </c>
      <c r="F8" s="209">
        <f t="shared" si="1"/>
        <v>4.4547441574379738E-2</v>
      </c>
      <c r="G8" s="121">
        <v>1548123.2</v>
      </c>
      <c r="H8" s="209">
        <f t="shared" si="2"/>
        <v>3.5211173897236325E-2</v>
      </c>
      <c r="I8" s="121">
        <v>5798.116763</v>
      </c>
      <c r="J8" s="209">
        <f t="shared" si="3"/>
        <v>2.423295630259345E-2</v>
      </c>
      <c r="K8" s="121">
        <v>2263.0669499999999</v>
      </c>
      <c r="L8" s="209">
        <f t="shared" si="4"/>
        <v>3.0753473502933164E-2</v>
      </c>
      <c r="M8" s="121">
        <v>8061.1837130000004</v>
      </c>
      <c r="N8" s="209">
        <f t="shared" si="5"/>
        <v>2.5766671698450566E-2</v>
      </c>
    </row>
    <row r="9" spans="2:32" x14ac:dyDescent="0.2">
      <c r="B9" s="25" t="s">
        <v>41</v>
      </c>
      <c r="C9" s="121">
        <v>20651.533319999999</v>
      </c>
      <c r="D9" s="209">
        <f t="shared" si="0"/>
        <v>0.25435137997784646</v>
      </c>
      <c r="E9" s="121">
        <v>830873.0956</v>
      </c>
      <c r="F9" s="209">
        <f t="shared" si="1"/>
        <v>0.17559624759718662</v>
      </c>
      <c r="G9" s="121">
        <v>6312300.96</v>
      </c>
      <c r="H9" s="209">
        <f t="shared" si="2"/>
        <v>0.14356966344426064</v>
      </c>
      <c r="I9" s="121">
        <v>30610.29463</v>
      </c>
      <c r="J9" s="209">
        <f t="shared" si="3"/>
        <v>0.12793428668285356</v>
      </c>
      <c r="K9" s="121">
        <v>9535.9994499999993</v>
      </c>
      <c r="L9" s="209">
        <f t="shared" si="4"/>
        <v>0.12958746377766694</v>
      </c>
      <c r="M9" s="121">
        <v>40146.29408</v>
      </c>
      <c r="N9" s="209">
        <f t="shared" si="5"/>
        <v>0.12832313668780537</v>
      </c>
    </row>
    <row r="10" spans="2:32" x14ac:dyDescent="0.2">
      <c r="B10" s="25" t="s">
        <v>42</v>
      </c>
      <c r="C10" s="121">
        <v>19571.314060000001</v>
      </c>
      <c r="D10" s="209">
        <f t="shared" si="0"/>
        <v>0.24104702842185036</v>
      </c>
      <c r="E10" s="121">
        <v>1205515.4040000001</v>
      </c>
      <c r="F10" s="209">
        <f t="shared" si="1"/>
        <v>0.25477294003621898</v>
      </c>
      <c r="G10" s="121">
        <v>8788702.0999999996</v>
      </c>
      <c r="H10" s="209">
        <f t="shared" si="2"/>
        <v>0.19989398645670192</v>
      </c>
      <c r="I10" s="121">
        <v>53403.415699999998</v>
      </c>
      <c r="J10" s="209">
        <f t="shared" si="3"/>
        <v>0.22319706414427945</v>
      </c>
      <c r="K10" s="121">
        <v>13948.93397</v>
      </c>
      <c r="L10" s="209">
        <f t="shared" si="4"/>
        <v>0.18955611155938595</v>
      </c>
      <c r="M10" s="121">
        <v>67352.349669999996</v>
      </c>
      <c r="N10" s="209">
        <f t="shared" si="5"/>
        <v>0.21528424904489396</v>
      </c>
    </row>
    <row r="11" spans="2:32" x14ac:dyDescent="0.2">
      <c r="B11" s="25" t="s">
        <v>43</v>
      </c>
      <c r="C11" s="121">
        <v>10230.95458</v>
      </c>
      <c r="D11" s="209">
        <f t="shared" si="0"/>
        <v>0.12600795183539762</v>
      </c>
      <c r="E11" s="121">
        <v>876507.94380000001</v>
      </c>
      <c r="F11" s="209">
        <f t="shared" si="1"/>
        <v>0.1852406904682132</v>
      </c>
      <c r="G11" s="121">
        <v>6434261.8720000004</v>
      </c>
      <c r="H11" s="209">
        <f t="shared" si="2"/>
        <v>0.14634359440860348</v>
      </c>
      <c r="I11" s="121">
        <v>45035.61636</v>
      </c>
      <c r="J11" s="209">
        <f t="shared" si="3"/>
        <v>0.18822424037345015</v>
      </c>
      <c r="K11" s="121">
        <v>10669.606030000001</v>
      </c>
      <c r="L11" s="209">
        <f t="shared" si="4"/>
        <v>0.14499237255457287</v>
      </c>
      <c r="M11" s="121">
        <v>55705.222399999999</v>
      </c>
      <c r="N11" s="209">
        <f t="shared" si="5"/>
        <v>0.17805551003077286</v>
      </c>
    </row>
    <row r="12" spans="2:32" x14ac:dyDescent="0.2">
      <c r="B12" s="25" t="s">
        <v>44</v>
      </c>
      <c r="C12" s="121">
        <v>6409.1651019999999</v>
      </c>
      <c r="D12" s="209">
        <f t="shared" si="0"/>
        <v>7.8937479505253288E-2</v>
      </c>
      <c r="E12" s="121">
        <v>759332.29339999997</v>
      </c>
      <c r="F12" s="209">
        <f t="shared" si="1"/>
        <v>0.16047685513769083</v>
      </c>
      <c r="G12" s="121">
        <v>6854295.6540000001</v>
      </c>
      <c r="H12" s="209">
        <f t="shared" si="2"/>
        <v>0.15589702177195278</v>
      </c>
      <c r="I12" s="121">
        <v>46275.814440000002</v>
      </c>
      <c r="J12" s="209">
        <f t="shared" si="3"/>
        <v>0.19340758991738902</v>
      </c>
      <c r="K12" s="121">
        <v>12121.375539999999</v>
      </c>
      <c r="L12" s="209">
        <f t="shared" si="4"/>
        <v>0.16472088971494731</v>
      </c>
      <c r="M12" s="121">
        <v>58397.189969999999</v>
      </c>
      <c r="N12" s="209">
        <f t="shared" si="5"/>
        <v>0.18666008313921181</v>
      </c>
    </row>
    <row r="13" spans="2:32" x14ac:dyDescent="0.2">
      <c r="B13" s="25" t="s">
        <v>45</v>
      </c>
      <c r="C13" s="121">
        <v>2046.7063189999999</v>
      </c>
      <c r="D13" s="209">
        <f t="shared" si="0"/>
        <v>2.5207938247513551E-2</v>
      </c>
      <c r="E13" s="121">
        <v>374396.34769999998</v>
      </c>
      <c r="F13" s="209">
        <f t="shared" si="1"/>
        <v>7.9124711244545398E-2</v>
      </c>
      <c r="G13" s="121">
        <v>4159037.872</v>
      </c>
      <c r="H13" s="209">
        <f t="shared" si="2"/>
        <v>9.4594930013440603E-2</v>
      </c>
      <c r="I13" s="121">
        <v>26775.05503</v>
      </c>
      <c r="J13" s="209">
        <f t="shared" si="3"/>
        <v>0.11190508316114174</v>
      </c>
      <c r="K13" s="121">
        <v>7944.1007669999999</v>
      </c>
      <c r="L13" s="209">
        <f t="shared" si="4"/>
        <v>0.10795469062131172</v>
      </c>
      <c r="M13" s="121">
        <v>34719.1558</v>
      </c>
      <c r="N13" s="209">
        <f t="shared" si="5"/>
        <v>0.11097589646831509</v>
      </c>
    </row>
    <row r="14" spans="2:32" x14ac:dyDescent="0.2">
      <c r="B14" s="25" t="s">
        <v>46</v>
      </c>
      <c r="C14" s="121">
        <v>593.46703360000004</v>
      </c>
      <c r="D14" s="209">
        <f t="shared" si="0"/>
        <v>7.309343893672637E-3</v>
      </c>
      <c r="E14" s="121">
        <v>196699.8627</v>
      </c>
      <c r="F14" s="209">
        <f t="shared" si="1"/>
        <v>4.1570437141257473E-2</v>
      </c>
      <c r="G14" s="121">
        <v>3019212.1269999999</v>
      </c>
      <c r="H14" s="209">
        <f t="shared" si="2"/>
        <v>6.8670247456043387E-2</v>
      </c>
      <c r="I14" s="121">
        <v>15522.78081</v>
      </c>
      <c r="J14" s="209">
        <f t="shared" si="3"/>
        <v>6.4876732297615189E-2</v>
      </c>
      <c r="K14" s="121">
        <v>6069.0797689999999</v>
      </c>
      <c r="L14" s="209">
        <f t="shared" si="4"/>
        <v>8.2474486167158786E-2</v>
      </c>
      <c r="M14" s="121">
        <v>21591.86058</v>
      </c>
      <c r="N14" s="209">
        <f t="shared" si="5"/>
        <v>6.9015966231655138E-2</v>
      </c>
    </row>
    <row r="15" spans="2:32" x14ac:dyDescent="0.2">
      <c r="B15" s="25" t="s">
        <v>47</v>
      </c>
      <c r="C15" s="121">
        <v>140.00021029999999</v>
      </c>
      <c r="D15" s="209">
        <f t="shared" si="0"/>
        <v>1.7242906923772049E-3</v>
      </c>
      <c r="E15" s="121">
        <v>92851.898990000002</v>
      </c>
      <c r="F15" s="209">
        <f t="shared" si="1"/>
        <v>1.9623267537797744E-2</v>
      </c>
      <c r="G15" s="121">
        <v>1655954.476</v>
      </c>
      <c r="H15" s="209">
        <f t="shared" si="2"/>
        <v>3.7663734398104012E-2</v>
      </c>
      <c r="I15" s="121">
        <v>7463.0744560000003</v>
      </c>
      <c r="J15" s="209">
        <f t="shared" si="3"/>
        <v>3.1191568670941128E-2</v>
      </c>
      <c r="K15" s="121">
        <v>3151.4338109999999</v>
      </c>
      <c r="L15" s="209">
        <f t="shared" si="4"/>
        <v>4.2825748572235645E-2</v>
      </c>
      <c r="M15" s="121">
        <v>10614.50827</v>
      </c>
      <c r="N15" s="209">
        <f t="shared" si="5"/>
        <v>3.3928087929879745E-2</v>
      </c>
    </row>
    <row r="16" spans="2:32" x14ac:dyDescent="0.2">
      <c r="B16" s="95" t="s">
        <v>48</v>
      </c>
      <c r="C16" s="121">
        <v>46.487761480000003</v>
      </c>
      <c r="D16" s="209">
        <f t="shared" si="0"/>
        <v>5.7255924300147684E-4</v>
      </c>
      <c r="E16" s="121">
        <v>100767.43210000001</v>
      </c>
      <c r="F16" s="209">
        <f t="shared" si="1"/>
        <v>2.1296131804564706E-2</v>
      </c>
      <c r="G16" s="121">
        <v>3322096.503</v>
      </c>
      <c r="H16" s="209">
        <f t="shared" si="2"/>
        <v>7.5559178798259519E-2</v>
      </c>
      <c r="I16" s="121">
        <v>6619.5540170000004</v>
      </c>
      <c r="J16" s="209">
        <f t="shared" si="3"/>
        <v>2.7666114670243311E-2</v>
      </c>
      <c r="K16" s="121">
        <v>4911.6353339999996</v>
      </c>
      <c r="L16" s="209">
        <f t="shared" si="4"/>
        <v>6.6745637861150897E-2</v>
      </c>
      <c r="M16" s="121">
        <v>11531.189350000001</v>
      </c>
      <c r="N16" s="209">
        <f t="shared" si="5"/>
        <v>3.68581564262037E-2</v>
      </c>
    </row>
    <row r="17" spans="2:14" x14ac:dyDescent="0.2">
      <c r="B17" s="10" t="s">
        <v>0</v>
      </c>
      <c r="C17" s="90">
        <f>SUM(C5:C16)</f>
        <v>81192.928152380016</v>
      </c>
      <c r="D17" s="29">
        <f t="shared" ref="D17:N17" si="6">SUM(D5:D16)</f>
        <v>0.99999999999999978</v>
      </c>
      <c r="E17" s="90">
        <f t="shared" si="6"/>
        <v>4731724.6636500005</v>
      </c>
      <c r="F17" s="29">
        <f t="shared" si="6"/>
        <v>1</v>
      </c>
      <c r="G17" s="90">
        <f t="shared" si="6"/>
        <v>43966815.889700003</v>
      </c>
      <c r="H17" s="29">
        <f t="shared" si="6"/>
        <v>1</v>
      </c>
      <c r="I17" s="90">
        <f t="shared" si="6"/>
        <v>239265.76231969998</v>
      </c>
      <c r="J17" s="29">
        <f t="shared" si="6"/>
        <v>1</v>
      </c>
      <c r="K17" s="90">
        <f t="shared" si="6"/>
        <v>73587.360783300013</v>
      </c>
      <c r="L17" s="29">
        <f t="shared" si="6"/>
        <v>0.99999999999999978</v>
      </c>
      <c r="M17" s="90">
        <f t="shared" si="6"/>
        <v>312853.12310959998</v>
      </c>
      <c r="N17" s="29">
        <f t="shared" si="6"/>
        <v>1</v>
      </c>
    </row>
    <row r="19" spans="2:14" x14ac:dyDescent="0.2">
      <c r="B19" s="300" t="s">
        <v>433</v>
      </c>
      <c r="C19" s="292"/>
      <c r="D19" s="292"/>
      <c r="E19" s="292"/>
      <c r="F19" s="292"/>
      <c r="G19" s="292"/>
      <c r="H19" s="292"/>
      <c r="I19" s="292"/>
      <c r="J19" s="292"/>
      <c r="K19" s="292"/>
      <c r="L19" s="292"/>
      <c r="M19" s="292"/>
      <c r="N19" s="292"/>
    </row>
  </sheetData>
  <mergeCells count="8">
    <mergeCell ref="B19:N19"/>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C9BD"/>
    <pageSetUpPr fitToPage="1"/>
  </sheetPr>
  <dimension ref="B1:AF18"/>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3.140625" style="76" customWidth="1"/>
    <col min="4" max="4" width="10.42578125" style="76" customWidth="1"/>
    <col min="5" max="5" width="12.140625" style="76" customWidth="1"/>
    <col min="6" max="6" width="10.42578125" style="76" customWidth="1"/>
    <col min="7" max="7" width="13.140625" style="76" customWidth="1"/>
    <col min="8" max="8" width="10.42578125" style="76" customWidth="1"/>
    <col min="9" max="9" width="12" style="76" bestFit="1" customWidth="1"/>
    <col min="10" max="10" width="10.42578125" style="76" customWidth="1"/>
    <col min="11" max="11" width="12.140625" style="76" customWidth="1"/>
    <col min="12" max="12" width="10.42578125" style="76" customWidth="1"/>
    <col min="13" max="13" width="12.140625" style="76" customWidth="1"/>
    <col min="14" max="14" width="10.42578125" style="76" customWidth="1"/>
    <col min="15" max="16384" width="11.42578125" style="76"/>
  </cols>
  <sheetData>
    <row r="1" spans="2:32" s="11" customFormat="1" ht="15.75" x14ac:dyDescent="0.2">
      <c r="B1" s="186" t="str">
        <f>Inhaltsverzeichnis!B51&amp;" "&amp;Inhaltsverzeichnis!C51&amp;" "&amp;Inhaltsverzeichnis!E51</f>
        <v>Tabelle 20: Verteilung der Altersrentnerinnen und -rentner, Steuerfaktoren und Steuern nach Stufen des steuerbaren Vermögens,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542</v>
      </c>
      <c r="C3" s="287" t="s">
        <v>420</v>
      </c>
      <c r="D3" s="283"/>
      <c r="E3" s="282" t="s">
        <v>109</v>
      </c>
      <c r="F3" s="286"/>
      <c r="G3" s="282" t="s">
        <v>110</v>
      </c>
      <c r="H3" s="283"/>
      <c r="I3" s="282" t="s">
        <v>122</v>
      </c>
      <c r="J3" s="283"/>
      <c r="K3" s="282" t="s">
        <v>123</v>
      </c>
      <c r="L3" s="283"/>
      <c r="M3" s="282" t="s">
        <v>124</v>
      </c>
      <c r="N3" s="283"/>
    </row>
    <row r="4" spans="2:32" ht="24.75" customHeight="1" x14ac:dyDescent="0.2">
      <c r="B4" s="285"/>
      <c r="C4" s="47" t="s">
        <v>1</v>
      </c>
      <c r="D4" s="47" t="s">
        <v>2</v>
      </c>
      <c r="E4" s="47" t="s">
        <v>3</v>
      </c>
      <c r="F4" s="47" t="s">
        <v>2</v>
      </c>
      <c r="G4" s="47" t="s">
        <v>3</v>
      </c>
      <c r="H4" s="47" t="s">
        <v>2</v>
      </c>
      <c r="I4" s="47" t="s">
        <v>3</v>
      </c>
      <c r="J4" s="47" t="s">
        <v>2</v>
      </c>
      <c r="K4" s="47" t="s">
        <v>3</v>
      </c>
      <c r="L4" s="47" t="s">
        <v>2</v>
      </c>
      <c r="M4" s="47" t="s">
        <v>3</v>
      </c>
      <c r="N4" s="47" t="s">
        <v>2</v>
      </c>
    </row>
    <row r="5" spans="2:32" x14ac:dyDescent="0.2">
      <c r="B5" s="25">
        <v>0</v>
      </c>
      <c r="C5" s="121">
        <v>23662.995009999999</v>
      </c>
      <c r="D5" s="209">
        <f t="shared" ref="D5:D15" si="0">C5/SUM($C$5:$C$15)</f>
        <v>0.29144157686174404</v>
      </c>
      <c r="E5" s="121">
        <v>895799.17879999999</v>
      </c>
      <c r="F5" s="209">
        <f t="shared" ref="F5:F15" si="1">E5/SUM($E$5:$E$15)</f>
        <v>0.18931768907828506</v>
      </c>
      <c r="G5" s="121">
        <v>0</v>
      </c>
      <c r="H5" s="209">
        <f t="shared" ref="H5:H15" si="2">G5/SUM($G$5:$G$15)</f>
        <v>0</v>
      </c>
      <c r="I5" s="121">
        <v>35837.653769999997</v>
      </c>
      <c r="J5" s="209">
        <f t="shared" ref="J5:J15" si="3">I5/SUM($I$5:$I$15)</f>
        <v>0.14978178835117931</v>
      </c>
      <c r="K5" s="121">
        <v>0</v>
      </c>
      <c r="L5" s="209">
        <f t="shared" ref="L5:L15" si="4">K5/SUM($K$5:$K$15)</f>
        <v>0</v>
      </c>
      <c r="M5" s="121">
        <v>35837.653769999997</v>
      </c>
      <c r="N5" s="28">
        <f t="shared" ref="N5:N15" si="5">M5/SUM($M$5:$M$15)</f>
        <v>0.11455105007132382</v>
      </c>
    </row>
    <row r="6" spans="2:32" x14ac:dyDescent="0.2">
      <c r="B6" s="25" t="s">
        <v>49</v>
      </c>
      <c r="C6" s="121">
        <v>2816.0537869999998</v>
      </c>
      <c r="D6" s="209">
        <f t="shared" si="0"/>
        <v>3.4683486002677642E-2</v>
      </c>
      <c r="E6" s="121">
        <v>111425.8043</v>
      </c>
      <c r="F6" s="209">
        <f t="shared" si="1"/>
        <v>2.3548666121823908E-2</v>
      </c>
      <c r="G6" s="121">
        <v>33248.021229999998</v>
      </c>
      <c r="H6" s="209">
        <f t="shared" si="2"/>
        <v>7.5620716565049794E-4</v>
      </c>
      <c r="I6" s="121">
        <v>4831.9772899999998</v>
      </c>
      <c r="J6" s="209">
        <f t="shared" si="3"/>
        <v>2.019502181736952E-2</v>
      </c>
      <c r="K6" s="121">
        <v>38.134398500000003</v>
      </c>
      <c r="L6" s="209">
        <f t="shared" si="4"/>
        <v>5.1821940738382621E-4</v>
      </c>
      <c r="M6" s="121">
        <v>4870.111688</v>
      </c>
      <c r="N6" s="28">
        <f t="shared" si="5"/>
        <v>1.5566767049131729E-2</v>
      </c>
    </row>
    <row r="7" spans="2:32" x14ac:dyDescent="0.2">
      <c r="B7" s="25" t="s">
        <v>51</v>
      </c>
      <c r="C7" s="121">
        <v>2427.2489890000002</v>
      </c>
      <c r="D7" s="209">
        <f t="shared" si="0"/>
        <v>2.9894832521888532E-2</v>
      </c>
      <c r="E7" s="121">
        <v>105201.33100000001</v>
      </c>
      <c r="F7" s="209">
        <f t="shared" si="1"/>
        <v>2.2233189473961763E-2</v>
      </c>
      <c r="G7" s="121">
        <v>89370.956630000001</v>
      </c>
      <c r="H7" s="209">
        <f t="shared" si="2"/>
        <v>2.0326911288081452E-3</v>
      </c>
      <c r="I7" s="121">
        <v>4591.384411</v>
      </c>
      <c r="J7" s="209">
        <f t="shared" si="3"/>
        <v>1.9189475195582985E-2</v>
      </c>
      <c r="K7" s="121">
        <v>101.8538167</v>
      </c>
      <c r="L7" s="209">
        <f t="shared" si="4"/>
        <v>1.3841210719517407E-3</v>
      </c>
      <c r="M7" s="121">
        <v>4693.2382269999998</v>
      </c>
      <c r="N7" s="28">
        <f t="shared" si="5"/>
        <v>1.5001410823042507E-2</v>
      </c>
    </row>
    <row r="8" spans="2:32" x14ac:dyDescent="0.2">
      <c r="B8" s="25" t="s">
        <v>52</v>
      </c>
      <c r="C8" s="121">
        <v>4361.3187639999996</v>
      </c>
      <c r="D8" s="209">
        <f t="shared" si="0"/>
        <v>5.3715500393746327E-2</v>
      </c>
      <c r="E8" s="121">
        <v>201833.98389999999</v>
      </c>
      <c r="F8" s="209">
        <f t="shared" si="1"/>
        <v>4.2655479390591056E-2</v>
      </c>
      <c r="G8" s="121">
        <v>324129.1213</v>
      </c>
      <c r="H8" s="209">
        <f t="shared" si="2"/>
        <v>7.3721308834432389E-3</v>
      </c>
      <c r="I8" s="121">
        <v>9040.9679140000007</v>
      </c>
      <c r="J8" s="209">
        <f t="shared" si="3"/>
        <v>3.7786300165613525E-2</v>
      </c>
      <c r="K8" s="121">
        <v>369.58816869999998</v>
      </c>
      <c r="L8" s="209">
        <f t="shared" si="4"/>
        <v>5.0224408747338066E-3</v>
      </c>
      <c r="M8" s="121">
        <v>9410.5560819999992</v>
      </c>
      <c r="N8" s="28">
        <f t="shared" si="5"/>
        <v>3.0079789482496108E-2</v>
      </c>
    </row>
    <row r="9" spans="2:32" x14ac:dyDescent="0.2">
      <c r="B9" s="25" t="s">
        <v>53</v>
      </c>
      <c r="C9" s="121">
        <v>11129.345069999999</v>
      </c>
      <c r="D9" s="209">
        <f t="shared" si="0"/>
        <v>0.13707283779033672</v>
      </c>
      <c r="E9" s="121">
        <v>551706.89040000003</v>
      </c>
      <c r="F9" s="209">
        <f t="shared" si="1"/>
        <v>0.1165974205055776</v>
      </c>
      <c r="G9" s="121">
        <v>1908330.2879999999</v>
      </c>
      <c r="H9" s="209">
        <f t="shared" si="2"/>
        <v>4.340387742869227E-2</v>
      </c>
      <c r="I9" s="121">
        <v>24889.527880000001</v>
      </c>
      <c r="J9" s="209">
        <f t="shared" si="3"/>
        <v>0.10402461112573377</v>
      </c>
      <c r="K9" s="121">
        <v>2335.639032</v>
      </c>
      <c r="L9" s="209">
        <f t="shared" si="4"/>
        <v>3.1739676581645136E-2</v>
      </c>
      <c r="M9" s="121">
        <v>27225.16691</v>
      </c>
      <c r="N9" s="28">
        <f t="shared" si="5"/>
        <v>8.7022199553650051E-2</v>
      </c>
    </row>
    <row r="10" spans="2:32" x14ac:dyDescent="0.2">
      <c r="B10" s="25" t="s">
        <v>54</v>
      </c>
      <c r="C10" s="121">
        <v>13427.590899999999</v>
      </c>
      <c r="D10" s="209">
        <f t="shared" si="0"/>
        <v>0.16537882308205773</v>
      </c>
      <c r="E10" s="121">
        <v>756410.45970000001</v>
      </c>
      <c r="F10" s="209">
        <f t="shared" si="1"/>
        <v>0.15985935644290106</v>
      </c>
      <c r="G10" s="121">
        <v>4902691.4029999999</v>
      </c>
      <c r="H10" s="209">
        <f t="shared" si="2"/>
        <v>0.11150890286897513</v>
      </c>
      <c r="I10" s="121">
        <v>35878.270120000001</v>
      </c>
      <c r="J10" s="209">
        <f t="shared" si="3"/>
        <v>0.14995154247566361</v>
      </c>
      <c r="K10" s="121">
        <v>6592.5507120000002</v>
      </c>
      <c r="L10" s="209">
        <f t="shared" si="4"/>
        <v>8.9588084708362742E-2</v>
      </c>
      <c r="M10" s="121">
        <v>42470.820829999997</v>
      </c>
      <c r="N10" s="28">
        <f t="shared" si="5"/>
        <v>0.13575322633258291</v>
      </c>
    </row>
    <row r="11" spans="2:32" x14ac:dyDescent="0.2">
      <c r="B11" s="25" t="s">
        <v>55</v>
      </c>
      <c r="C11" s="121">
        <v>8254.6814809999996</v>
      </c>
      <c r="D11" s="209">
        <f t="shared" si="0"/>
        <v>0.10166749332860872</v>
      </c>
      <c r="E11" s="121">
        <v>529502.44469999999</v>
      </c>
      <c r="F11" s="209">
        <f t="shared" si="1"/>
        <v>0.11190474557723096</v>
      </c>
      <c r="G11" s="121">
        <v>5068240.835</v>
      </c>
      <c r="H11" s="209">
        <f t="shared" si="2"/>
        <v>0.11527422970998455</v>
      </c>
      <c r="I11" s="121">
        <v>26582.106110000001</v>
      </c>
      <c r="J11" s="209">
        <f t="shared" si="3"/>
        <v>0.11109866222965663</v>
      </c>
      <c r="K11" s="121">
        <v>7447.4970350000003</v>
      </c>
      <c r="L11" s="209">
        <f t="shared" si="4"/>
        <v>0.10120619838727762</v>
      </c>
      <c r="M11" s="121">
        <v>34029.603150000003</v>
      </c>
      <c r="N11" s="28">
        <f t="shared" si="5"/>
        <v>0.10877181858389637</v>
      </c>
    </row>
    <row r="12" spans="2:32" x14ac:dyDescent="0.2">
      <c r="B12" s="25" t="s">
        <v>56</v>
      </c>
      <c r="C12" s="121">
        <v>4645.9260299999996</v>
      </c>
      <c r="D12" s="209">
        <f t="shared" si="0"/>
        <v>5.7220821269413025E-2</v>
      </c>
      <c r="E12" s="121">
        <v>331817.24410000001</v>
      </c>
      <c r="F12" s="209">
        <f t="shared" si="1"/>
        <v>7.0126067690180843E-2</v>
      </c>
      <c r="G12" s="121">
        <v>4008508.7140000002</v>
      </c>
      <c r="H12" s="209">
        <f t="shared" si="2"/>
        <v>9.1171230676553042E-2</v>
      </c>
      <c r="I12" s="121">
        <v>17633.65741</v>
      </c>
      <c r="J12" s="209">
        <f t="shared" si="3"/>
        <v>7.3699041767427198E-2</v>
      </c>
      <c r="K12" s="121">
        <v>6317.0072840000003</v>
      </c>
      <c r="L12" s="209">
        <f t="shared" si="4"/>
        <v>8.5843645105711922E-2</v>
      </c>
      <c r="M12" s="121">
        <v>23950.664700000001</v>
      </c>
      <c r="N12" s="28">
        <f t="shared" si="5"/>
        <v>7.6555619653534829E-2</v>
      </c>
    </row>
    <row r="13" spans="2:32" x14ac:dyDescent="0.2">
      <c r="B13" s="25" t="s">
        <v>57</v>
      </c>
      <c r="C13" s="121">
        <v>9820.9312289999998</v>
      </c>
      <c r="D13" s="209">
        <f t="shared" si="0"/>
        <v>0.12095796336942666</v>
      </c>
      <c r="E13" s="121">
        <v>996064.77690000006</v>
      </c>
      <c r="F13" s="209">
        <f t="shared" si="1"/>
        <v>0.21050776356771714</v>
      </c>
      <c r="G13" s="121">
        <v>17866757.640000001</v>
      </c>
      <c r="H13" s="209">
        <f t="shared" si="2"/>
        <v>0.40636915083889885</v>
      </c>
      <c r="I13" s="121">
        <v>61492.776210000004</v>
      </c>
      <c r="J13" s="209">
        <f t="shared" si="3"/>
        <v>0.25700616593162245</v>
      </c>
      <c r="K13" s="121">
        <v>32704.74453</v>
      </c>
      <c r="L13" s="209">
        <f t="shared" si="4"/>
        <v>0.44443426396186714</v>
      </c>
      <c r="M13" s="121">
        <v>94197.520740000007</v>
      </c>
      <c r="N13" s="28">
        <f t="shared" si="5"/>
        <v>0.30109183441900045</v>
      </c>
    </row>
    <row r="14" spans="2:32" x14ac:dyDescent="0.2">
      <c r="B14" s="25" t="s">
        <v>58</v>
      </c>
      <c r="C14" s="121">
        <v>443.07324110000002</v>
      </c>
      <c r="D14" s="209">
        <f t="shared" si="0"/>
        <v>5.4570422719887011E-3</v>
      </c>
      <c r="E14" s="121">
        <v>115267.1482</v>
      </c>
      <c r="F14" s="209">
        <f t="shared" si="1"/>
        <v>2.4360493557385034E-2</v>
      </c>
      <c r="G14" s="121">
        <v>3018408.1860000002</v>
      </c>
      <c r="H14" s="209">
        <f t="shared" si="2"/>
        <v>6.8651962272322009E-2</v>
      </c>
      <c r="I14" s="121">
        <v>8613.3968050000003</v>
      </c>
      <c r="J14" s="209">
        <f t="shared" si="3"/>
        <v>3.5999286825836037E-2</v>
      </c>
      <c r="K14" s="121">
        <v>6126.9187439999996</v>
      </c>
      <c r="L14" s="209">
        <f t="shared" si="4"/>
        <v>8.3260476774126541E-2</v>
      </c>
      <c r="M14" s="121">
        <v>14740.315549999999</v>
      </c>
      <c r="N14" s="28">
        <f t="shared" si="5"/>
        <v>4.7115769226182894E-2</v>
      </c>
    </row>
    <row r="15" spans="2:32" x14ac:dyDescent="0.2">
      <c r="B15" s="26" t="s">
        <v>50</v>
      </c>
      <c r="C15" s="121">
        <v>203.7636487</v>
      </c>
      <c r="D15" s="209">
        <f t="shared" si="0"/>
        <v>2.5096231081118106E-3</v>
      </c>
      <c r="E15" s="121">
        <v>136695.40229999999</v>
      </c>
      <c r="F15" s="209">
        <f t="shared" si="1"/>
        <v>2.8889128594345715E-2</v>
      </c>
      <c r="G15" s="121">
        <v>6747130.7290000003</v>
      </c>
      <c r="H15" s="209">
        <f t="shared" si="2"/>
        <v>0.15345961702667224</v>
      </c>
      <c r="I15" s="121">
        <v>9874.0443899999991</v>
      </c>
      <c r="J15" s="209">
        <f t="shared" si="3"/>
        <v>4.1268104114314884E-2</v>
      </c>
      <c r="K15" s="121">
        <v>11553.42707</v>
      </c>
      <c r="L15" s="209">
        <f t="shared" si="4"/>
        <v>0.15700287312693956</v>
      </c>
      <c r="M15" s="121">
        <v>21427.471460000001</v>
      </c>
      <c r="N15" s="28">
        <f t="shared" si="5"/>
        <v>6.8490514805158317E-2</v>
      </c>
    </row>
    <row r="16" spans="2:32" x14ac:dyDescent="0.2">
      <c r="B16" s="10" t="s">
        <v>0</v>
      </c>
      <c r="C16" s="90">
        <f t="shared" ref="C16:N16" si="6">SUM(C5:C15)</f>
        <v>81192.928149800005</v>
      </c>
      <c r="D16" s="29">
        <f t="shared" si="6"/>
        <v>0.99999999999999978</v>
      </c>
      <c r="E16" s="90">
        <f t="shared" si="6"/>
        <v>4731724.6642999994</v>
      </c>
      <c r="F16" s="29">
        <f t="shared" si="6"/>
        <v>1.0000000000000002</v>
      </c>
      <c r="G16" s="90">
        <f t="shared" si="6"/>
        <v>43966815.894160002</v>
      </c>
      <c r="H16" s="29">
        <f t="shared" si="6"/>
        <v>1</v>
      </c>
      <c r="I16" s="90">
        <f t="shared" si="6"/>
        <v>239265.76231000002</v>
      </c>
      <c r="J16" s="29">
        <f t="shared" si="6"/>
        <v>1</v>
      </c>
      <c r="K16" s="90">
        <f t="shared" si="6"/>
        <v>73587.360790899998</v>
      </c>
      <c r="L16" s="29">
        <f t="shared" si="6"/>
        <v>1</v>
      </c>
      <c r="M16" s="90">
        <f t="shared" si="6"/>
        <v>312853.12310700002</v>
      </c>
      <c r="N16" s="29">
        <f t="shared" si="6"/>
        <v>1</v>
      </c>
    </row>
    <row r="18" spans="2:14" x14ac:dyDescent="0.2">
      <c r="B18" s="300" t="s">
        <v>433</v>
      </c>
      <c r="C18" s="292"/>
      <c r="D18" s="292"/>
      <c r="E18" s="292"/>
      <c r="F18" s="292"/>
      <c r="G18" s="292"/>
      <c r="H18" s="292"/>
      <c r="I18" s="292"/>
      <c r="J18" s="292"/>
      <c r="K18" s="292"/>
      <c r="L18" s="292"/>
      <c r="M18" s="292"/>
      <c r="N18" s="292"/>
    </row>
  </sheetData>
  <mergeCells count="8">
    <mergeCell ref="B18:N18"/>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F1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5.42578125" style="76" customWidth="1"/>
    <col min="3" max="3" width="13.140625" style="76" customWidth="1"/>
    <col min="4" max="4" width="10.42578125" style="76" customWidth="1"/>
    <col min="5" max="5" width="12.140625" style="76" customWidth="1"/>
    <col min="6" max="6" width="10.42578125" style="76" customWidth="1"/>
    <col min="7" max="7" width="13.140625" style="76" customWidth="1"/>
    <col min="8" max="8" width="10.42578125" style="76" customWidth="1"/>
    <col min="9" max="9" width="12" style="76" bestFit="1" customWidth="1"/>
    <col min="10" max="10" width="10.42578125" style="76" customWidth="1"/>
    <col min="11" max="11" width="12.140625" style="76" customWidth="1"/>
    <col min="12" max="12" width="10.42578125" style="76" customWidth="1"/>
    <col min="13" max="13" width="12.140625" style="76" customWidth="1"/>
    <col min="14" max="14" width="10.42578125" style="76" customWidth="1"/>
    <col min="15" max="16384" width="11.42578125" style="76"/>
  </cols>
  <sheetData>
    <row r="1" spans="2:32" s="11" customFormat="1" ht="15.75" x14ac:dyDescent="0.2">
      <c r="B1" s="186" t="str">
        <f>Inhaltsverzeichnis!B54&amp;" "&amp;Inhaltsverzeichnis!C54&amp;" "&amp;Inhaltsverzeichnis!E54</f>
        <v>Tabelle 21a: Verteilung der Pflichtigen, Steuerfaktoren und Steuern nach Stufen des steuerbaren 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541</v>
      </c>
      <c r="C3" s="287" t="s">
        <v>420</v>
      </c>
      <c r="D3" s="283"/>
      <c r="E3" s="282" t="s">
        <v>109</v>
      </c>
      <c r="F3" s="286"/>
      <c r="G3" s="282" t="s">
        <v>110</v>
      </c>
      <c r="H3" s="283"/>
      <c r="I3" s="282" t="s">
        <v>122</v>
      </c>
      <c r="J3" s="283"/>
      <c r="K3" s="282" t="s">
        <v>123</v>
      </c>
      <c r="L3" s="283"/>
      <c r="M3" s="282" t="s">
        <v>124</v>
      </c>
      <c r="N3" s="283"/>
    </row>
    <row r="4" spans="2:32" ht="24.75" customHeight="1" x14ac:dyDescent="0.2">
      <c r="B4" s="285"/>
      <c r="C4" s="47" t="s">
        <v>1</v>
      </c>
      <c r="D4" s="47" t="s">
        <v>2</v>
      </c>
      <c r="E4" s="47" t="s">
        <v>3</v>
      </c>
      <c r="F4" s="47" t="s">
        <v>2</v>
      </c>
      <c r="G4" s="47" t="s">
        <v>3</v>
      </c>
      <c r="H4" s="47" t="s">
        <v>2</v>
      </c>
      <c r="I4" s="47" t="s">
        <v>3</v>
      </c>
      <c r="J4" s="47" t="s">
        <v>2</v>
      </c>
      <c r="K4" s="47" t="s">
        <v>3</v>
      </c>
      <c r="L4" s="47" t="s">
        <v>2</v>
      </c>
      <c r="M4" s="47" t="s">
        <v>3</v>
      </c>
      <c r="N4" s="47" t="s">
        <v>2</v>
      </c>
    </row>
    <row r="5" spans="2:32" x14ac:dyDescent="0.2">
      <c r="B5" s="25">
        <v>0</v>
      </c>
      <c r="C5" s="121">
        <v>47545.102709999999</v>
      </c>
      <c r="D5" s="28">
        <f>C5/SUM($C$5:$C$16)</f>
        <v>0.1261390901934058</v>
      </c>
      <c r="E5" s="121">
        <v>0</v>
      </c>
      <c r="F5" s="28">
        <f>E5/SUM($E$5:$E$16)</f>
        <v>0</v>
      </c>
      <c r="G5" s="121">
        <v>1841126.3219999999</v>
      </c>
      <c r="H5" s="28">
        <f>G5/SUM($G$5:$G$16)</f>
        <v>2.408286203225166E-2</v>
      </c>
      <c r="I5" s="121">
        <v>0</v>
      </c>
      <c r="J5" s="28">
        <f>I5/SUM($I$5:$I$16)</f>
        <v>0</v>
      </c>
      <c r="K5" s="121">
        <v>3017.2237140000002</v>
      </c>
      <c r="L5" s="28">
        <f>K5/SUM($K$5:$K$16)</f>
        <v>2.3559686039335569E-2</v>
      </c>
      <c r="M5" s="121">
        <v>3017.2237140000002</v>
      </c>
      <c r="N5" s="28">
        <f>M5/SUM($M$5:$M$16)</f>
        <v>2.235070951869637E-3</v>
      </c>
    </row>
    <row r="6" spans="2:32" x14ac:dyDescent="0.2">
      <c r="B6" s="25" t="s">
        <v>38</v>
      </c>
      <c r="C6" s="121">
        <v>14559.97163</v>
      </c>
      <c r="D6" s="28">
        <f t="shared" ref="D6:D16" si="0">C6/SUM($C$5:$C$16)</f>
        <v>3.8628196595812965E-2</v>
      </c>
      <c r="E6" s="121">
        <v>68117.486919999996</v>
      </c>
      <c r="F6" s="28">
        <f t="shared" ref="F6:F16" si="1">E6/SUM($E$5:$E$16)</f>
        <v>3.0117537149423165E-3</v>
      </c>
      <c r="G6" s="121">
        <v>896607.44519999996</v>
      </c>
      <c r="H6" s="28">
        <f t="shared" ref="H6:H16" si="2">G6/SUM($G$5:$G$16)</f>
        <v>1.1728078156193587E-2</v>
      </c>
      <c r="I6" s="121">
        <v>1123.8096109999999</v>
      </c>
      <c r="J6" s="28">
        <f t="shared" ref="J6:J16" si="3">I6/SUM($I$5:$I$16)</f>
        <v>9.1973950654477838E-4</v>
      </c>
      <c r="K6" s="121">
        <v>1405.0241820000001</v>
      </c>
      <c r="L6" s="28">
        <f t="shared" ref="L6:L16" si="4">K6/SUM($K$5:$K$16)</f>
        <v>1.0970989142104521E-2</v>
      </c>
      <c r="M6" s="121">
        <v>2528.8337929999998</v>
      </c>
      <c r="N6" s="28">
        <f t="shared" ref="N6:N16" si="5">M6/SUM($M$5:$M$16)</f>
        <v>1.8732860034920877E-3</v>
      </c>
    </row>
    <row r="7" spans="2:32" x14ac:dyDescent="0.2">
      <c r="B7" s="25" t="s">
        <v>39</v>
      </c>
      <c r="C7" s="121">
        <v>15495.27125</v>
      </c>
      <c r="D7" s="28">
        <f t="shared" si="0"/>
        <v>4.1109584507511052E-2</v>
      </c>
      <c r="E7" s="121">
        <v>236056.34760000001</v>
      </c>
      <c r="F7" s="28">
        <f t="shared" si="1"/>
        <v>1.0437020124582348E-2</v>
      </c>
      <c r="G7" s="121">
        <v>1080070.8019999999</v>
      </c>
      <c r="H7" s="28">
        <f t="shared" si="2"/>
        <v>1.4127871509312655E-2</v>
      </c>
      <c r="I7" s="121">
        <v>4614.6611720000001</v>
      </c>
      <c r="J7" s="28">
        <f t="shared" si="3"/>
        <v>3.7766950448394317E-3</v>
      </c>
      <c r="K7" s="121">
        <v>1663.9249569999999</v>
      </c>
      <c r="L7" s="28">
        <f t="shared" si="4"/>
        <v>1.2992589643929509E-2</v>
      </c>
      <c r="M7" s="121">
        <v>6278.5861290000003</v>
      </c>
      <c r="N7" s="28">
        <f t="shared" si="5"/>
        <v>4.6509927025383075E-3</v>
      </c>
    </row>
    <row r="8" spans="2:32" x14ac:dyDescent="0.2">
      <c r="B8" s="25" t="s">
        <v>40</v>
      </c>
      <c r="C8" s="121">
        <v>24568.152010000002</v>
      </c>
      <c r="D8" s="28">
        <f t="shared" si="0"/>
        <v>6.5180305975506725E-2</v>
      </c>
      <c r="E8" s="121">
        <v>612201.9841</v>
      </c>
      <c r="F8" s="28">
        <f t="shared" si="1"/>
        <v>2.7067962769584689E-2</v>
      </c>
      <c r="G8" s="121">
        <v>2190244.9330000002</v>
      </c>
      <c r="H8" s="28">
        <f t="shared" si="2"/>
        <v>2.8649509763663726E-2</v>
      </c>
      <c r="I8" s="121">
        <v>16174.646650000001</v>
      </c>
      <c r="J8" s="28">
        <f t="shared" si="3"/>
        <v>1.3237528299094744E-2</v>
      </c>
      <c r="K8" s="121">
        <v>3244.646244</v>
      </c>
      <c r="L8" s="28">
        <f t="shared" si="4"/>
        <v>2.533549185055536E-2</v>
      </c>
      <c r="M8" s="121">
        <v>19419.292890000001</v>
      </c>
      <c r="N8" s="28">
        <f t="shared" si="5"/>
        <v>1.4385243375522393E-2</v>
      </c>
    </row>
    <row r="9" spans="2:32" x14ac:dyDescent="0.2">
      <c r="B9" s="25" t="s">
        <v>41</v>
      </c>
      <c r="C9" s="121">
        <v>82525.483940000006</v>
      </c>
      <c r="D9" s="28">
        <f t="shared" si="0"/>
        <v>0.21894346354567212</v>
      </c>
      <c r="E9" s="121">
        <v>3369712.719</v>
      </c>
      <c r="F9" s="28">
        <f t="shared" si="1"/>
        <v>0.14898883177613012</v>
      </c>
      <c r="G9" s="121">
        <v>8516783.3579999991</v>
      </c>
      <c r="H9" s="28">
        <f t="shared" si="2"/>
        <v>0.11140382716731968</v>
      </c>
      <c r="I9" s="121">
        <v>130842.0753</v>
      </c>
      <c r="J9" s="28">
        <f t="shared" si="3"/>
        <v>0.10708275191260733</v>
      </c>
      <c r="K9" s="121">
        <v>12863.19911</v>
      </c>
      <c r="L9" s="28">
        <f t="shared" si="4"/>
        <v>0.10044098854416622</v>
      </c>
      <c r="M9" s="121">
        <v>143705.27439999999</v>
      </c>
      <c r="N9" s="28">
        <f t="shared" si="5"/>
        <v>0.10645265810140565</v>
      </c>
    </row>
    <row r="10" spans="2:32" x14ac:dyDescent="0.2">
      <c r="B10" s="25" t="s">
        <v>42</v>
      </c>
      <c r="C10" s="121">
        <v>89857.772249999995</v>
      </c>
      <c r="D10" s="28">
        <f t="shared" si="0"/>
        <v>0.23839632248890488</v>
      </c>
      <c r="E10" s="121">
        <v>5511337.5360000003</v>
      </c>
      <c r="F10" s="28">
        <f t="shared" si="1"/>
        <v>0.24367885617746501</v>
      </c>
      <c r="G10" s="121">
        <v>12820590.050000001</v>
      </c>
      <c r="H10" s="28">
        <f t="shared" si="2"/>
        <v>0.16769979205490301</v>
      </c>
      <c r="I10" s="121">
        <v>261946.18590000001</v>
      </c>
      <c r="J10" s="28">
        <f t="shared" si="3"/>
        <v>0.21437995671399612</v>
      </c>
      <c r="K10" s="121">
        <v>19932.007590000001</v>
      </c>
      <c r="L10" s="28">
        <f t="shared" si="4"/>
        <v>0.15563706422401979</v>
      </c>
      <c r="M10" s="121">
        <v>281878.19349999999</v>
      </c>
      <c r="N10" s="28">
        <f t="shared" si="5"/>
        <v>0.2088071094410531</v>
      </c>
    </row>
    <row r="11" spans="2:32" x14ac:dyDescent="0.2">
      <c r="B11" s="25" t="s">
        <v>43</v>
      </c>
      <c r="C11" s="121">
        <v>49391.861299999997</v>
      </c>
      <c r="D11" s="28">
        <f t="shared" si="0"/>
        <v>0.13103861580323187</v>
      </c>
      <c r="E11" s="121">
        <v>4250457.5449999999</v>
      </c>
      <c r="F11" s="28">
        <f t="shared" si="1"/>
        <v>0.18793017593841596</v>
      </c>
      <c r="G11" s="121">
        <v>10679108.92</v>
      </c>
      <c r="H11" s="28">
        <f t="shared" si="2"/>
        <v>0.13968813745945022</v>
      </c>
      <c r="I11" s="121">
        <v>225065.4564</v>
      </c>
      <c r="J11" s="28">
        <f t="shared" si="3"/>
        <v>0.1841963174041687</v>
      </c>
      <c r="K11" s="121">
        <v>17061.02607</v>
      </c>
      <c r="L11" s="28">
        <f t="shared" si="4"/>
        <v>0.13321929555738576</v>
      </c>
      <c r="M11" s="121">
        <v>242126.48240000001</v>
      </c>
      <c r="N11" s="28">
        <f t="shared" si="5"/>
        <v>0.17936020619868923</v>
      </c>
    </row>
    <row r="12" spans="2:32" x14ac:dyDescent="0.2">
      <c r="B12" s="25" t="s">
        <v>44</v>
      </c>
      <c r="C12" s="121">
        <v>35819.161370000002</v>
      </c>
      <c r="D12" s="28">
        <f t="shared" si="0"/>
        <v>9.5029691160016999E-2</v>
      </c>
      <c r="E12" s="121">
        <v>4265022.6710000001</v>
      </c>
      <c r="F12" s="28">
        <f t="shared" si="1"/>
        <v>0.18857415994784693</v>
      </c>
      <c r="G12" s="121">
        <v>12541466.6</v>
      </c>
      <c r="H12" s="28">
        <f t="shared" si="2"/>
        <v>0.16404871637585131</v>
      </c>
      <c r="I12" s="121">
        <v>260018.40890000001</v>
      </c>
      <c r="J12" s="28">
        <f t="shared" si="3"/>
        <v>0.21280224048043353</v>
      </c>
      <c r="K12" s="121">
        <v>21201.806759999999</v>
      </c>
      <c r="L12" s="28">
        <f t="shared" si="4"/>
        <v>0.16555216254417335</v>
      </c>
      <c r="M12" s="121">
        <v>281220.2156</v>
      </c>
      <c r="N12" s="28">
        <f t="shared" si="5"/>
        <v>0.20831969868511929</v>
      </c>
    </row>
    <row r="13" spans="2:32" x14ac:dyDescent="0.2">
      <c r="B13" s="25" t="s">
        <v>45</v>
      </c>
      <c r="C13" s="121">
        <v>12770.84368</v>
      </c>
      <c r="D13" s="28">
        <f t="shared" si="0"/>
        <v>3.3881567416586753E-2</v>
      </c>
      <c r="E13" s="121">
        <v>2342848.7710000002</v>
      </c>
      <c r="F13" s="28">
        <f t="shared" si="1"/>
        <v>0.10358696141996912</v>
      </c>
      <c r="G13" s="121">
        <v>9258485.2750000004</v>
      </c>
      <c r="H13" s="28">
        <f t="shared" si="2"/>
        <v>0.12110566278974669</v>
      </c>
      <c r="I13" s="121">
        <v>167018.52970000001</v>
      </c>
      <c r="J13" s="28">
        <f t="shared" si="3"/>
        <v>0.13669000388190528</v>
      </c>
      <c r="K13" s="121">
        <v>16788.171679999999</v>
      </c>
      <c r="L13" s="28">
        <f t="shared" si="4"/>
        <v>0.13108873966488543</v>
      </c>
      <c r="M13" s="121">
        <v>183806.70139999999</v>
      </c>
      <c r="N13" s="28">
        <f t="shared" si="5"/>
        <v>0.13615862063919737</v>
      </c>
    </row>
    <row r="14" spans="2:32" x14ac:dyDescent="0.2">
      <c r="B14" s="25" t="s">
        <v>46</v>
      </c>
      <c r="C14" s="121">
        <v>3547.9799170000001</v>
      </c>
      <c r="D14" s="28">
        <f t="shared" si="0"/>
        <v>9.4129349448376747E-3</v>
      </c>
      <c r="E14" s="121">
        <v>1157464.861</v>
      </c>
      <c r="F14" s="28">
        <f t="shared" si="1"/>
        <v>5.1176272828826523E-2</v>
      </c>
      <c r="G14" s="121">
        <v>7033510.9139999999</v>
      </c>
      <c r="H14" s="28">
        <f t="shared" si="2"/>
        <v>9.2001874570015657E-2</v>
      </c>
      <c r="I14" s="121">
        <v>91667.728000000003</v>
      </c>
      <c r="J14" s="28">
        <f t="shared" si="3"/>
        <v>7.5021987791845796E-2</v>
      </c>
      <c r="K14" s="121">
        <v>13628.07517</v>
      </c>
      <c r="L14" s="28">
        <f t="shared" si="4"/>
        <v>0.10641344585616122</v>
      </c>
      <c r="M14" s="121">
        <v>105295.80319999999</v>
      </c>
      <c r="N14" s="28">
        <f t="shared" si="5"/>
        <v>7.800004686231958E-2</v>
      </c>
    </row>
    <row r="15" spans="2:32" x14ac:dyDescent="0.2">
      <c r="B15" s="25" t="s">
        <v>47</v>
      </c>
      <c r="C15" s="121">
        <v>659.60417610000002</v>
      </c>
      <c r="D15" s="28">
        <f t="shared" si="0"/>
        <v>1.7499566920385569E-3</v>
      </c>
      <c r="E15" s="121">
        <v>428001.17170000001</v>
      </c>
      <c r="F15" s="28">
        <f t="shared" si="1"/>
        <v>1.8923688720064415E-2</v>
      </c>
      <c r="G15" s="121">
        <v>3743407.3259999999</v>
      </c>
      <c r="H15" s="28">
        <f t="shared" si="2"/>
        <v>4.8965658187237686E-2</v>
      </c>
      <c r="I15" s="121">
        <v>35159.819499999998</v>
      </c>
      <c r="J15" s="28">
        <f t="shared" si="3"/>
        <v>2.8775225554761232E-2</v>
      </c>
      <c r="K15" s="121">
        <v>7109.5441929999997</v>
      </c>
      <c r="L15" s="28">
        <f t="shared" si="4"/>
        <v>5.551415637251661E-2</v>
      </c>
      <c r="M15" s="121">
        <v>42269.363689999998</v>
      </c>
      <c r="N15" s="28">
        <f t="shared" si="5"/>
        <v>3.1311906538174637E-2</v>
      </c>
    </row>
    <row r="16" spans="2:32" x14ac:dyDescent="0.2">
      <c r="B16" s="95" t="s">
        <v>48</v>
      </c>
      <c r="C16" s="121">
        <v>184.79576499999999</v>
      </c>
      <c r="D16" s="28">
        <f t="shared" si="0"/>
        <v>4.9027067647477627E-4</v>
      </c>
      <c r="E16" s="121">
        <v>375995.77340000001</v>
      </c>
      <c r="F16" s="28">
        <f t="shared" si="1"/>
        <v>1.6624316582172283E-2</v>
      </c>
      <c r="G16" s="121">
        <v>5848245.9220000003</v>
      </c>
      <c r="H16" s="28">
        <f t="shared" si="2"/>
        <v>7.6498009934054062E-2</v>
      </c>
      <c r="I16" s="121">
        <v>28246.833500000001</v>
      </c>
      <c r="J16" s="28">
        <f t="shared" si="3"/>
        <v>2.3117553409803076E-2</v>
      </c>
      <c r="K16" s="121">
        <v>10152.57962</v>
      </c>
      <c r="L16" s="28">
        <f t="shared" si="4"/>
        <v>7.9275390560766615E-2</v>
      </c>
      <c r="M16" s="121">
        <v>38399.413110000001</v>
      </c>
      <c r="N16" s="28">
        <f t="shared" si="5"/>
        <v>2.8445160500618787E-2</v>
      </c>
    </row>
    <row r="17" spans="2:14" x14ac:dyDescent="0.2">
      <c r="B17" s="10" t="s">
        <v>0</v>
      </c>
      <c r="C17" s="90">
        <f>SUM(C5:C16)</f>
        <v>376925.99999809993</v>
      </c>
      <c r="D17" s="29">
        <f t="shared" ref="D17:L17" si="6">SUM(D5:D16)</f>
        <v>1.0000000000000002</v>
      </c>
      <c r="E17" s="90">
        <f t="shared" si="6"/>
        <v>22617216.866720006</v>
      </c>
      <c r="F17" s="29">
        <f t="shared" si="6"/>
        <v>0.99999999999999978</v>
      </c>
      <c r="G17" s="90">
        <f t="shared" si="6"/>
        <v>76449647.867200002</v>
      </c>
      <c r="H17" s="29">
        <f t="shared" si="6"/>
        <v>0.99999999999999978</v>
      </c>
      <c r="I17" s="90">
        <f t="shared" si="6"/>
        <v>1221878.154633</v>
      </c>
      <c r="J17" s="29">
        <f t="shared" si="6"/>
        <v>0.99999999999999989</v>
      </c>
      <c r="K17" s="90">
        <f t="shared" si="6"/>
        <v>128067.22929</v>
      </c>
      <c r="L17" s="29">
        <f t="shared" si="6"/>
        <v>1</v>
      </c>
      <c r="M17" s="90">
        <f t="shared" ref="M17" si="7">SUM(M5:M16)</f>
        <v>1349945.3838259999</v>
      </c>
      <c r="N17" s="29">
        <f t="shared" ref="N17" si="8">SUM(N5:N16)</f>
        <v>1</v>
      </c>
    </row>
    <row r="19" spans="2:14" x14ac:dyDescent="0.2">
      <c r="B19" s="300" t="s">
        <v>425</v>
      </c>
      <c r="C19" s="292"/>
      <c r="D19" s="292"/>
      <c r="E19" s="292"/>
      <c r="F19" s="292"/>
      <c r="G19" s="292"/>
      <c r="H19" s="292"/>
      <c r="I19" s="292"/>
      <c r="J19" s="292"/>
      <c r="K19" s="292"/>
      <c r="L19" s="292"/>
      <c r="M19" s="292"/>
      <c r="N19" s="292"/>
    </row>
  </sheetData>
  <mergeCells count="8">
    <mergeCell ref="B19:N19"/>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85" orientation="landscape" r:id="rId1"/>
  <headerFooter alignWithMargins="0"/>
  <colBreaks count="1" manualBreakCount="1">
    <brk id="14" max="4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F22"/>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24" customWidth="1"/>
    <col min="2" max="2" width="15.42578125" style="124" customWidth="1"/>
    <col min="3" max="3" width="13.140625" style="124" customWidth="1"/>
    <col min="4" max="4" width="10.42578125" style="124" customWidth="1"/>
    <col min="5" max="5" width="12.140625" style="124" customWidth="1"/>
    <col min="6" max="6" width="10.42578125" style="124" customWidth="1"/>
    <col min="7" max="7" width="13.140625" style="124" customWidth="1"/>
    <col min="8" max="8" width="10.42578125" style="124" customWidth="1"/>
    <col min="9" max="9" width="12" style="124" bestFit="1" customWidth="1"/>
    <col min="10" max="10" width="10.42578125" style="124" customWidth="1"/>
    <col min="11" max="11" width="12.140625" style="124" customWidth="1"/>
    <col min="12" max="12" width="10.42578125" style="124" customWidth="1"/>
    <col min="13" max="13" width="12.140625" style="124" customWidth="1"/>
    <col min="14" max="14" width="10.42578125" style="124" customWidth="1"/>
    <col min="15" max="15" width="11.42578125" style="124"/>
    <col min="16" max="16" width="27.140625" style="124" bestFit="1" customWidth="1"/>
    <col min="17" max="17" width="13.42578125" style="124" customWidth="1"/>
    <col min="18" max="23" width="11.5703125" style="124" bestFit="1" customWidth="1"/>
    <col min="24" max="24" width="12.28515625" style="124" bestFit="1" customWidth="1"/>
    <col min="25" max="16384" width="11.42578125" style="124"/>
  </cols>
  <sheetData>
    <row r="1" spans="2:32" s="11" customFormat="1" ht="15.75" x14ac:dyDescent="0.2">
      <c r="B1" s="186" t="str">
        <f>Inhaltsverzeichnis!B55&amp;" "&amp;Inhaltsverzeichnis!C55&amp;" "&amp;Inhaltsverzeichnis!E55</f>
        <v>Tabelle 21b: Verteilung der Pflichtigen und Einkommenssteuer nach Stufen des steuerbaren Einkommens, 2014</v>
      </c>
      <c r="C1" s="187"/>
      <c r="D1" s="187"/>
      <c r="E1" s="187"/>
      <c r="F1" s="187"/>
      <c r="G1" s="187"/>
      <c r="H1" s="187"/>
      <c r="I1" s="187"/>
      <c r="J1" s="187"/>
      <c r="K1" s="187"/>
      <c r="L1" s="187"/>
      <c r="M1" s="187"/>
      <c r="N1" s="187"/>
      <c r="O1" s="187"/>
      <c r="P1" s="187"/>
      <c r="Q1" s="187"/>
      <c r="R1" s="187"/>
      <c r="S1" s="187"/>
      <c r="T1" s="123"/>
      <c r="U1" s="123"/>
      <c r="V1" s="123"/>
      <c r="W1" s="123"/>
      <c r="X1" s="123"/>
      <c r="Y1" s="123"/>
      <c r="Z1" s="123"/>
      <c r="AA1" s="123"/>
      <c r="AB1" s="123"/>
      <c r="AC1" s="123"/>
      <c r="AD1" s="123"/>
      <c r="AE1" s="123"/>
      <c r="AF1" s="123"/>
    </row>
    <row r="3" spans="2:32" s="125" customFormat="1" ht="27" customHeight="1" x14ac:dyDescent="0.2">
      <c r="B3" s="284" t="s">
        <v>541</v>
      </c>
      <c r="C3" s="287" t="s">
        <v>420</v>
      </c>
      <c r="D3" s="283"/>
      <c r="E3" s="282" t="s">
        <v>109</v>
      </c>
      <c r="F3" s="286"/>
      <c r="G3" s="282" t="s">
        <v>110</v>
      </c>
      <c r="H3" s="283"/>
      <c r="I3" s="282" t="s">
        <v>122</v>
      </c>
      <c r="J3" s="283"/>
      <c r="K3" s="282" t="s">
        <v>123</v>
      </c>
      <c r="L3" s="283"/>
      <c r="M3" s="282" t="s">
        <v>124</v>
      </c>
      <c r="N3" s="283"/>
    </row>
    <row r="4" spans="2:32" ht="24.75" customHeight="1" x14ac:dyDescent="0.2">
      <c r="B4" s="285"/>
      <c r="C4" s="126" t="s">
        <v>1</v>
      </c>
      <c r="D4" s="126" t="s">
        <v>2</v>
      </c>
      <c r="E4" s="126" t="s">
        <v>3</v>
      </c>
      <c r="F4" s="126" t="s">
        <v>2</v>
      </c>
      <c r="G4" s="126" t="s">
        <v>3</v>
      </c>
      <c r="H4" s="126" t="s">
        <v>2</v>
      </c>
      <c r="I4" s="126" t="s">
        <v>3</v>
      </c>
      <c r="J4" s="126" t="s">
        <v>2</v>
      </c>
      <c r="K4" s="126" t="s">
        <v>3</v>
      </c>
      <c r="L4" s="126" t="s">
        <v>2</v>
      </c>
      <c r="M4" s="126" t="s">
        <v>3</v>
      </c>
      <c r="N4" s="126" t="s">
        <v>2</v>
      </c>
    </row>
    <row r="5" spans="2:32" x14ac:dyDescent="0.2">
      <c r="B5" s="24">
        <v>0</v>
      </c>
      <c r="C5" s="121">
        <v>42289.287689999997</v>
      </c>
      <c r="D5" s="28">
        <f t="shared" ref="D5:D11" si="0">C5/SUM($C$5:$C$11)</f>
        <v>0.11620401155879301</v>
      </c>
      <c r="E5" s="121">
        <v>0</v>
      </c>
      <c r="F5" s="28">
        <f t="shared" ref="F5:F11" si="1">E5/SUM($E$5:$E$11)</f>
        <v>0</v>
      </c>
      <c r="G5" s="121">
        <v>1379753.13</v>
      </c>
      <c r="H5" s="28">
        <f t="shared" ref="H5:H11" si="2">G5/SUM($G$5:$G$11)</f>
        <v>1.8719318586391493E-2</v>
      </c>
      <c r="I5" s="121">
        <v>0</v>
      </c>
      <c r="J5" s="28">
        <f t="shared" ref="J5:J11" si="3">I5/SUM($I$5:$I$11)</f>
        <v>0</v>
      </c>
      <c r="K5" s="121">
        <v>2217.9686969999998</v>
      </c>
      <c r="L5" s="28">
        <f t="shared" ref="L5:L11" si="4">K5/SUM($K$5:$K$11)</f>
        <v>1.802045930692708E-2</v>
      </c>
      <c r="M5" s="121">
        <v>2217.9686969999998</v>
      </c>
      <c r="N5" s="28">
        <f t="shared" ref="N5:N11" si="5">M5/SUM($M$5:$M$11)</f>
        <v>1.6711286878941976E-3</v>
      </c>
    </row>
    <row r="6" spans="2:32" x14ac:dyDescent="0.2">
      <c r="B6" s="25" t="s">
        <v>456</v>
      </c>
      <c r="C6" s="121">
        <v>36557.310519999999</v>
      </c>
      <c r="D6" s="28">
        <f t="shared" si="0"/>
        <v>0.10045348045029853</v>
      </c>
      <c r="E6" s="121">
        <v>530914.27780000004</v>
      </c>
      <c r="F6" s="28">
        <f t="shared" si="1"/>
        <v>2.3723994420492178E-2</v>
      </c>
      <c r="G6" s="121">
        <v>2187007.6009999998</v>
      </c>
      <c r="H6" s="28">
        <f t="shared" si="2"/>
        <v>2.9671461614280786E-2</v>
      </c>
      <c r="I6" s="121">
        <v>9767.8734199999999</v>
      </c>
      <c r="J6" s="28">
        <f t="shared" si="3"/>
        <v>8.1118588480674145E-3</v>
      </c>
      <c r="K6" s="121">
        <v>3251.8056190000002</v>
      </c>
      <c r="L6" s="28">
        <f t="shared" si="4"/>
        <v>2.642013429246623E-2</v>
      </c>
      <c r="M6" s="121">
        <v>13019.679040000001</v>
      </c>
      <c r="N6" s="28">
        <f t="shared" si="5"/>
        <v>9.8096781890329755E-3</v>
      </c>
    </row>
    <row r="7" spans="2:32" x14ac:dyDescent="0.2">
      <c r="B7" s="25" t="s">
        <v>451</v>
      </c>
      <c r="C7" s="121">
        <v>94049.772559999998</v>
      </c>
      <c r="D7" s="28">
        <f t="shared" si="0"/>
        <v>0.25843331620476612</v>
      </c>
      <c r="E7" s="121">
        <v>3676533.0240000002</v>
      </c>
      <c r="F7" s="28">
        <f t="shared" si="1"/>
        <v>0.16428650084447066</v>
      </c>
      <c r="G7" s="121">
        <v>9394499.3499999996</v>
      </c>
      <c r="H7" s="28">
        <f t="shared" si="2"/>
        <v>0.12745658804361459</v>
      </c>
      <c r="I7" s="121">
        <v>138472.02929999999</v>
      </c>
      <c r="J7" s="28">
        <f t="shared" si="3"/>
        <v>0.11499591648957459</v>
      </c>
      <c r="K7" s="121">
        <v>14050.042100000001</v>
      </c>
      <c r="L7" s="28">
        <f t="shared" si="4"/>
        <v>0.11415319443692867</v>
      </c>
      <c r="M7" s="121">
        <v>152522.07130000001</v>
      </c>
      <c r="N7" s="28">
        <f t="shared" si="5"/>
        <v>0.11491776652719563</v>
      </c>
    </row>
    <row r="8" spans="2:32" x14ac:dyDescent="0.2">
      <c r="B8" s="25" t="s">
        <v>452</v>
      </c>
      <c r="C8" s="121">
        <v>89439.976349999997</v>
      </c>
      <c r="D8" s="28">
        <f t="shared" si="0"/>
        <v>0.24576635392350762</v>
      </c>
      <c r="E8" s="121">
        <v>5485852.1880000001</v>
      </c>
      <c r="F8" s="28">
        <f t="shared" si="1"/>
        <v>0.24513623411872915</v>
      </c>
      <c r="G8" s="121">
        <v>12616161.07</v>
      </c>
      <c r="H8" s="28">
        <f t="shared" si="2"/>
        <v>0.17116535796991436</v>
      </c>
      <c r="I8" s="121">
        <v>260220.67019999999</v>
      </c>
      <c r="J8" s="28">
        <f t="shared" si="3"/>
        <v>0.21610367530867355</v>
      </c>
      <c r="K8" s="121">
        <v>19550.388610000002</v>
      </c>
      <c r="L8" s="28">
        <f t="shared" si="4"/>
        <v>0.15884217971950745</v>
      </c>
      <c r="M8" s="121">
        <v>279771.0588</v>
      </c>
      <c r="N8" s="28">
        <f t="shared" si="5"/>
        <v>0.21079352609240834</v>
      </c>
    </row>
    <row r="9" spans="2:32" x14ac:dyDescent="0.2">
      <c r="B9" s="25" t="s">
        <v>453</v>
      </c>
      <c r="C9" s="121">
        <v>49158.021099999998</v>
      </c>
      <c r="D9" s="28">
        <f t="shared" si="0"/>
        <v>0.13507816196825118</v>
      </c>
      <c r="E9" s="121">
        <v>4230354.3380000005</v>
      </c>
      <c r="F9" s="28">
        <f t="shared" si="1"/>
        <v>0.18903410005715407</v>
      </c>
      <c r="G9" s="121">
        <v>10527723.92</v>
      </c>
      <c r="H9" s="28">
        <f t="shared" si="2"/>
        <v>0.14283121651483718</v>
      </c>
      <c r="I9" s="121">
        <v>223628.7702</v>
      </c>
      <c r="J9" s="28">
        <f t="shared" si="3"/>
        <v>0.18571545107402759</v>
      </c>
      <c r="K9" s="121">
        <v>16776.51453</v>
      </c>
      <c r="L9" s="28">
        <f t="shared" si="4"/>
        <v>0.13630512360650143</v>
      </c>
      <c r="M9" s="121">
        <v>240405.28479999999</v>
      </c>
      <c r="N9" s="28">
        <f t="shared" si="5"/>
        <v>0.18113338059912884</v>
      </c>
    </row>
    <row r="10" spans="2:32" x14ac:dyDescent="0.2">
      <c r="B10" s="25" t="s">
        <v>454</v>
      </c>
      <c r="C10" s="121">
        <v>44906.953699999998</v>
      </c>
      <c r="D10" s="28">
        <f t="shared" si="0"/>
        <v>0.1233969274932704</v>
      </c>
      <c r="E10" s="121">
        <v>5822106.7609999999</v>
      </c>
      <c r="F10" s="28">
        <f t="shared" si="1"/>
        <v>0.26016182666216814</v>
      </c>
      <c r="G10" s="121">
        <v>18089361.789999999</v>
      </c>
      <c r="H10" s="28">
        <f t="shared" si="2"/>
        <v>0.24542109672293846</v>
      </c>
      <c r="I10" s="121">
        <v>367753.34279999998</v>
      </c>
      <c r="J10" s="28">
        <f t="shared" si="3"/>
        <v>0.30540559643109594</v>
      </c>
      <c r="K10" s="121">
        <v>31062.462640000002</v>
      </c>
      <c r="L10" s="28">
        <f t="shared" si="4"/>
        <v>0.25237499732714347</v>
      </c>
      <c r="M10" s="121">
        <v>398815.80540000001</v>
      </c>
      <c r="N10" s="28">
        <f t="shared" si="5"/>
        <v>0.30048779971107487</v>
      </c>
    </row>
    <row r="11" spans="2:32" x14ac:dyDescent="0.2">
      <c r="B11" s="26" t="s">
        <v>455</v>
      </c>
      <c r="C11" s="121">
        <v>7521.4645890000002</v>
      </c>
      <c r="D11" s="28">
        <f t="shared" si="0"/>
        <v>2.0667748401113076E-2</v>
      </c>
      <c r="E11" s="121">
        <v>2633028.9350000001</v>
      </c>
      <c r="F11" s="28">
        <f t="shared" si="1"/>
        <v>0.11765734389698582</v>
      </c>
      <c r="G11" s="121">
        <v>19512937.329999998</v>
      </c>
      <c r="H11" s="28">
        <f t="shared" si="2"/>
        <v>0.26473496054802309</v>
      </c>
      <c r="I11" s="121">
        <v>204304.67449999999</v>
      </c>
      <c r="J11" s="28">
        <f t="shared" si="3"/>
        <v>0.16966750184856083</v>
      </c>
      <c r="K11" s="121">
        <v>36171.404110000003</v>
      </c>
      <c r="L11" s="28">
        <f t="shared" si="4"/>
        <v>0.29388391131052566</v>
      </c>
      <c r="M11" s="121">
        <v>240476.07860000001</v>
      </c>
      <c r="N11" s="28">
        <f t="shared" si="5"/>
        <v>0.18118672019326518</v>
      </c>
    </row>
    <row r="12" spans="2:32" x14ac:dyDescent="0.2">
      <c r="B12" s="10" t="s">
        <v>0</v>
      </c>
      <c r="C12" s="90">
        <f t="shared" ref="C12:N12" si="6">SUM(C5:C11)</f>
        <v>363922.786509</v>
      </c>
      <c r="D12" s="29">
        <f t="shared" si="6"/>
        <v>0.99999999999999989</v>
      </c>
      <c r="E12" s="90">
        <f t="shared" si="6"/>
        <v>22378789.523800001</v>
      </c>
      <c r="F12" s="29">
        <f t="shared" si="6"/>
        <v>1</v>
      </c>
      <c r="G12" s="90">
        <f t="shared" si="6"/>
        <v>73707444.191</v>
      </c>
      <c r="H12" s="29">
        <f t="shared" si="6"/>
        <v>1</v>
      </c>
      <c r="I12" s="90">
        <f t="shared" si="6"/>
        <v>1204147.36042</v>
      </c>
      <c r="J12" s="29">
        <f t="shared" si="6"/>
        <v>0.99999999999999989</v>
      </c>
      <c r="K12" s="90">
        <f t="shared" si="6"/>
        <v>123080.58630600001</v>
      </c>
      <c r="L12" s="29">
        <f t="shared" si="6"/>
        <v>1</v>
      </c>
      <c r="M12" s="90">
        <f t="shared" si="6"/>
        <v>1327227.946637</v>
      </c>
      <c r="N12" s="29">
        <f t="shared" si="6"/>
        <v>1</v>
      </c>
    </row>
    <row r="14" spans="2:32" x14ac:dyDescent="0.2">
      <c r="B14" s="300" t="s">
        <v>33</v>
      </c>
      <c r="C14" s="292"/>
      <c r="D14" s="292"/>
      <c r="E14" s="292"/>
      <c r="F14" s="292"/>
      <c r="G14" s="292"/>
      <c r="H14" s="292"/>
      <c r="I14" s="292"/>
      <c r="J14" s="292"/>
      <c r="K14" s="292"/>
      <c r="L14" s="292"/>
      <c r="M14" s="292"/>
      <c r="N14" s="292"/>
    </row>
    <row r="18" spans="16:24" x14ac:dyDescent="0.2">
      <c r="P18" s="134" t="s">
        <v>465</v>
      </c>
      <c r="Q18" s="136" t="s">
        <v>468</v>
      </c>
      <c r="R18" s="134" t="s">
        <v>469</v>
      </c>
      <c r="S18" s="134" t="s">
        <v>470</v>
      </c>
      <c r="T18" s="134" t="s">
        <v>471</v>
      </c>
      <c r="U18" s="134" t="s">
        <v>472</v>
      </c>
      <c r="V18" s="134" t="s">
        <v>473</v>
      </c>
      <c r="W18" s="134" t="s">
        <v>474</v>
      </c>
      <c r="X18" s="134" t="s">
        <v>0</v>
      </c>
    </row>
    <row r="19" spans="16:24" x14ac:dyDescent="0.2">
      <c r="P19" s="134" t="s">
        <v>10</v>
      </c>
      <c r="Q19" s="135">
        <f>C5</f>
        <v>42289.287689999997</v>
      </c>
      <c r="R19" s="135">
        <f>C6</f>
        <v>36557.310519999999</v>
      </c>
      <c r="S19" s="135">
        <f>C7</f>
        <v>94049.772559999998</v>
      </c>
      <c r="T19" s="135">
        <f>C8</f>
        <v>89439.976349999997</v>
      </c>
      <c r="U19" s="135">
        <f>C9</f>
        <v>49158.021099999998</v>
      </c>
      <c r="V19" s="135">
        <f>C10</f>
        <v>44906.953699999998</v>
      </c>
      <c r="W19" s="135">
        <f>C11</f>
        <v>7521.4645890000002</v>
      </c>
      <c r="X19" s="135">
        <f>C12</f>
        <v>363922.786509</v>
      </c>
    </row>
    <row r="20" spans="16:24" x14ac:dyDescent="0.2">
      <c r="P20" s="134" t="s">
        <v>450</v>
      </c>
      <c r="Q20" s="135">
        <f>I5</f>
        <v>0</v>
      </c>
      <c r="R20" s="135">
        <f>I6</f>
        <v>9767.8734199999999</v>
      </c>
      <c r="S20" s="135">
        <f>I7</f>
        <v>138472.02929999999</v>
      </c>
      <c r="T20" s="135">
        <f>I8</f>
        <v>260220.67019999999</v>
      </c>
      <c r="U20" s="135">
        <f>I9</f>
        <v>223628.7702</v>
      </c>
      <c r="V20" s="135">
        <f>I10</f>
        <v>367753.34279999998</v>
      </c>
      <c r="W20" s="135">
        <f>I11</f>
        <v>204304.67449999999</v>
      </c>
      <c r="X20" s="135">
        <f>I12</f>
        <v>1204147.36042</v>
      </c>
    </row>
    <row r="21" spans="16:24" x14ac:dyDescent="0.2">
      <c r="P21" s="134" t="s">
        <v>10</v>
      </c>
      <c r="Q21" s="137">
        <f>Q19/$X$19</f>
        <v>0.11620401155879301</v>
      </c>
      <c r="R21" s="137">
        <f t="shared" ref="R21:X21" si="7">R19/$X$19</f>
        <v>0.10045348045029853</v>
      </c>
      <c r="S21" s="137">
        <f t="shared" si="7"/>
        <v>0.25843331620476612</v>
      </c>
      <c r="T21" s="137">
        <f t="shared" si="7"/>
        <v>0.24576635392350762</v>
      </c>
      <c r="U21" s="137">
        <f t="shared" si="7"/>
        <v>0.13507816196825118</v>
      </c>
      <c r="V21" s="137">
        <f t="shared" si="7"/>
        <v>0.1233969274932704</v>
      </c>
      <c r="W21" s="137">
        <f t="shared" si="7"/>
        <v>2.0667748401113076E-2</v>
      </c>
      <c r="X21" s="137">
        <f t="shared" si="7"/>
        <v>1</v>
      </c>
    </row>
    <row r="22" spans="16:24" x14ac:dyDescent="0.2">
      <c r="P22" s="134" t="s">
        <v>462</v>
      </c>
      <c r="Q22" s="137">
        <f>Q20/$X$20</f>
        <v>0</v>
      </c>
      <c r="R22" s="137">
        <f t="shared" ref="R22:X22" si="8">R20/$X$20</f>
        <v>8.1118588480674145E-3</v>
      </c>
      <c r="S22" s="137">
        <f t="shared" si="8"/>
        <v>0.11499591648957459</v>
      </c>
      <c r="T22" s="137">
        <f t="shared" si="8"/>
        <v>0.21610367530867355</v>
      </c>
      <c r="U22" s="137">
        <f t="shared" si="8"/>
        <v>0.18571545107402759</v>
      </c>
      <c r="V22" s="137">
        <f t="shared" si="8"/>
        <v>0.30540559643109594</v>
      </c>
      <c r="W22" s="137">
        <f t="shared" si="8"/>
        <v>0.16966750184856083</v>
      </c>
      <c r="X22" s="137">
        <f t="shared" si="8"/>
        <v>1</v>
      </c>
    </row>
  </sheetData>
  <mergeCells count="8">
    <mergeCell ref="B14:N14"/>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74" orientation="landscape" r:id="rId1"/>
  <headerFooter alignWithMargins="0"/>
  <colBreaks count="1" manualBreakCount="1">
    <brk id="14" max="42"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F18"/>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16.28515625" style="76" customWidth="1"/>
    <col min="3" max="3" width="13.140625" style="76" customWidth="1"/>
    <col min="4" max="4" width="10.42578125" style="76" customWidth="1"/>
    <col min="5" max="5" width="12.140625" style="76" customWidth="1"/>
    <col min="6" max="6" width="10.42578125" style="76" customWidth="1"/>
    <col min="7" max="7" width="13.140625" style="76" customWidth="1"/>
    <col min="8" max="8" width="10.42578125" style="76" customWidth="1"/>
    <col min="9" max="9" width="12" style="76" bestFit="1" customWidth="1"/>
    <col min="10" max="10" width="10.42578125" style="76" customWidth="1"/>
    <col min="11" max="11" width="12.140625" style="76" customWidth="1"/>
    <col min="12" max="12" width="10.42578125" style="76" customWidth="1"/>
    <col min="13" max="13" width="12.140625" style="76" customWidth="1"/>
    <col min="14" max="14" width="10.42578125" style="76" customWidth="1"/>
    <col min="15" max="16384" width="11.42578125" style="76"/>
  </cols>
  <sheetData>
    <row r="1" spans="2:32" s="11" customFormat="1" ht="15.75" x14ac:dyDescent="0.2">
      <c r="B1" s="186" t="str">
        <f>Inhaltsverzeichnis!B56&amp;" "&amp;Inhaltsverzeichnis!C56&amp;" "&amp;Inhaltsverzeichnis!E56</f>
        <v>Tabelle 22a: Verteilung der Pflichtigen, Steuerfaktoren und Steuern nach Stufen des steuerbaren Vermögens,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542</v>
      </c>
      <c r="C3" s="287" t="s">
        <v>420</v>
      </c>
      <c r="D3" s="283"/>
      <c r="E3" s="282" t="s">
        <v>109</v>
      </c>
      <c r="F3" s="286"/>
      <c r="G3" s="282" t="s">
        <v>110</v>
      </c>
      <c r="H3" s="283"/>
      <c r="I3" s="282" t="s">
        <v>122</v>
      </c>
      <c r="J3" s="283"/>
      <c r="K3" s="282" t="s">
        <v>123</v>
      </c>
      <c r="L3" s="283"/>
      <c r="M3" s="282" t="s">
        <v>124</v>
      </c>
      <c r="N3" s="283"/>
    </row>
    <row r="4" spans="2:32" ht="24.75" customHeight="1" x14ac:dyDescent="0.2">
      <c r="B4" s="285"/>
      <c r="C4" s="47" t="s">
        <v>1</v>
      </c>
      <c r="D4" s="47" t="s">
        <v>2</v>
      </c>
      <c r="E4" s="47" t="s">
        <v>3</v>
      </c>
      <c r="F4" s="47" t="s">
        <v>2</v>
      </c>
      <c r="G4" s="47" t="s">
        <v>3</v>
      </c>
      <c r="H4" s="47" t="s">
        <v>2</v>
      </c>
      <c r="I4" s="47" t="s">
        <v>3</v>
      </c>
      <c r="J4" s="47" t="s">
        <v>2</v>
      </c>
      <c r="K4" s="47" t="s">
        <v>3</v>
      </c>
      <c r="L4" s="47" t="s">
        <v>2</v>
      </c>
      <c r="M4" s="47" t="s">
        <v>3</v>
      </c>
      <c r="N4" s="47" t="s">
        <v>2</v>
      </c>
    </row>
    <row r="5" spans="2:32" x14ac:dyDescent="0.2">
      <c r="B5" s="25">
        <v>0</v>
      </c>
      <c r="C5" s="121">
        <v>250840.14559999999</v>
      </c>
      <c r="D5" s="28">
        <f t="shared" ref="D5:D15" si="0">C5/SUM($C$5:$C$15)</f>
        <v>0.66548910285122209</v>
      </c>
      <c r="E5" s="121">
        <v>12279092.58</v>
      </c>
      <c r="F5" s="28">
        <f t="shared" ref="F5:F15" si="1">E5/SUM($E$5:$E$15)</f>
        <v>0.54290908781158731</v>
      </c>
      <c r="G5" s="121">
        <v>0</v>
      </c>
      <c r="H5" s="28">
        <f t="shared" ref="H5:H15" si="2">G5/SUM($G$5:$G$15)</f>
        <v>0</v>
      </c>
      <c r="I5" s="121">
        <v>606806.46880000003</v>
      </c>
      <c r="J5" s="28">
        <f t="shared" ref="J5:J15" si="3">I5/SUM($I$5:$I$15)</f>
        <v>0.49661782273921962</v>
      </c>
      <c r="K5" s="121">
        <v>0</v>
      </c>
      <c r="L5" s="28">
        <f t="shared" ref="L5:L15" si="4">K5/SUM($K$5:$K$15)</f>
        <v>0</v>
      </c>
      <c r="M5" s="121">
        <v>606806.46880000003</v>
      </c>
      <c r="N5" s="28">
        <f t="shared" ref="N5:N15" si="5">M5/SUM($M$5:$M$15)</f>
        <v>0.44950445850404164</v>
      </c>
    </row>
    <row r="6" spans="2:32" x14ac:dyDescent="0.2">
      <c r="B6" s="25" t="s">
        <v>49</v>
      </c>
      <c r="C6" s="121">
        <v>11085.184579999999</v>
      </c>
      <c r="D6" s="28">
        <f t="shared" si="0"/>
        <v>2.9409445300068435E-2</v>
      </c>
      <c r="E6" s="121">
        <v>614533.83140000002</v>
      </c>
      <c r="F6" s="28">
        <f t="shared" si="1"/>
        <v>2.7171063306270293E-2</v>
      </c>
      <c r="G6" s="121">
        <v>130186.1562</v>
      </c>
      <c r="H6" s="28">
        <f t="shared" si="2"/>
        <v>1.7029006648765159E-3</v>
      </c>
      <c r="I6" s="121">
        <v>33450.143660000002</v>
      </c>
      <c r="J6" s="28">
        <f t="shared" si="3"/>
        <v>2.7376005973691279E-2</v>
      </c>
      <c r="K6" s="121">
        <v>147.1218365</v>
      </c>
      <c r="L6" s="28">
        <f t="shared" si="4"/>
        <v>1.1487859721705527E-3</v>
      </c>
      <c r="M6" s="121">
        <v>33597.265500000001</v>
      </c>
      <c r="N6" s="28">
        <f t="shared" si="5"/>
        <v>2.4887870206228131E-2</v>
      </c>
    </row>
    <row r="7" spans="2:32" x14ac:dyDescent="0.2">
      <c r="B7" s="25" t="s">
        <v>51</v>
      </c>
      <c r="C7" s="121">
        <v>8762.0589880000007</v>
      </c>
      <c r="D7" s="28">
        <f t="shared" si="0"/>
        <v>2.3246098670154848E-2</v>
      </c>
      <c r="E7" s="121">
        <v>530117.09329999995</v>
      </c>
      <c r="F7" s="28">
        <f t="shared" si="1"/>
        <v>2.343865278983287E-2</v>
      </c>
      <c r="G7" s="121">
        <v>320106.10019999999</v>
      </c>
      <c r="H7" s="28">
        <f t="shared" si="2"/>
        <v>4.187149438717422E-3</v>
      </c>
      <c r="I7" s="121">
        <v>29058.179690000001</v>
      </c>
      <c r="J7" s="28">
        <f t="shared" si="3"/>
        <v>2.3781569037902142E-2</v>
      </c>
      <c r="K7" s="121">
        <v>361.00085780000001</v>
      </c>
      <c r="L7" s="28">
        <f t="shared" si="4"/>
        <v>2.8188386662925898E-3</v>
      </c>
      <c r="M7" s="121">
        <v>29419.180540000001</v>
      </c>
      <c r="N7" s="28">
        <f t="shared" si="5"/>
        <v>2.1792867245493907E-2</v>
      </c>
    </row>
    <row r="8" spans="2:32" x14ac:dyDescent="0.2">
      <c r="B8" s="25" t="s">
        <v>52</v>
      </c>
      <c r="C8" s="121">
        <v>13757.990330000001</v>
      </c>
      <c r="D8" s="28">
        <f t="shared" si="0"/>
        <v>3.6500507603546416E-2</v>
      </c>
      <c r="E8" s="121">
        <v>863696.13199999998</v>
      </c>
      <c r="F8" s="28">
        <f t="shared" si="1"/>
        <v>3.8187551410294548E-2</v>
      </c>
      <c r="G8" s="121">
        <v>1010289.781</v>
      </c>
      <c r="H8" s="28">
        <f t="shared" si="2"/>
        <v>1.3215100514526517E-2</v>
      </c>
      <c r="I8" s="121">
        <v>47414.830699999999</v>
      </c>
      <c r="J8" s="28">
        <f t="shared" si="3"/>
        <v>3.8804876346075476E-2</v>
      </c>
      <c r="K8" s="121">
        <v>1145.762919</v>
      </c>
      <c r="L8" s="28">
        <f t="shared" si="4"/>
        <v>8.9465738064001474E-3</v>
      </c>
      <c r="M8" s="121">
        <v>48560.593610000004</v>
      </c>
      <c r="N8" s="28">
        <f t="shared" si="5"/>
        <v>3.5972265388773121E-2</v>
      </c>
    </row>
    <row r="9" spans="2:32" x14ac:dyDescent="0.2">
      <c r="B9" s="25" t="s">
        <v>53</v>
      </c>
      <c r="C9" s="121">
        <v>27922.842390000002</v>
      </c>
      <c r="D9" s="28">
        <f t="shared" si="0"/>
        <v>7.4080435915586468E-2</v>
      </c>
      <c r="E9" s="121">
        <v>1884937.493</v>
      </c>
      <c r="F9" s="28">
        <f t="shared" si="1"/>
        <v>8.3340824107255837E-2</v>
      </c>
      <c r="G9" s="121">
        <v>4681306.6069999998</v>
      </c>
      <c r="H9" s="28">
        <f t="shared" si="2"/>
        <v>6.1233854399267734E-2</v>
      </c>
      <c r="I9" s="121">
        <v>104289.6446</v>
      </c>
      <c r="J9" s="28">
        <f t="shared" si="3"/>
        <v>8.5351918442664779E-2</v>
      </c>
      <c r="K9" s="121">
        <v>5713.721974</v>
      </c>
      <c r="L9" s="28">
        <f t="shared" si="4"/>
        <v>4.4615019828234945E-2</v>
      </c>
      <c r="M9" s="121">
        <v>110003.3665</v>
      </c>
      <c r="N9" s="28">
        <f t="shared" si="5"/>
        <v>8.1487271864436217E-2</v>
      </c>
    </row>
    <row r="10" spans="2:32" x14ac:dyDescent="0.2">
      <c r="B10" s="25" t="s">
        <v>54</v>
      </c>
      <c r="C10" s="121">
        <v>25929.24325</v>
      </c>
      <c r="D10" s="28">
        <f t="shared" si="0"/>
        <v>6.8791336357977337E-2</v>
      </c>
      <c r="E10" s="121">
        <v>1902250.564</v>
      </c>
      <c r="F10" s="28">
        <f t="shared" si="1"/>
        <v>8.4106306045158716E-2</v>
      </c>
      <c r="G10" s="121">
        <v>9356211.7819999997</v>
      </c>
      <c r="H10" s="28">
        <f t="shared" si="2"/>
        <v>0.12238397483536188</v>
      </c>
      <c r="I10" s="121">
        <v>106810.0361</v>
      </c>
      <c r="J10" s="28">
        <f t="shared" si="3"/>
        <v>8.7414637618443675E-2</v>
      </c>
      <c r="K10" s="121">
        <v>12593.462799999999</v>
      </c>
      <c r="L10" s="28">
        <f t="shared" si="4"/>
        <v>9.8334779865881364E-2</v>
      </c>
      <c r="M10" s="121">
        <v>119403.499</v>
      </c>
      <c r="N10" s="28">
        <f t="shared" si="5"/>
        <v>8.8450614687123577E-2</v>
      </c>
    </row>
    <row r="11" spans="2:32" x14ac:dyDescent="0.2">
      <c r="B11" s="25" t="s">
        <v>55</v>
      </c>
      <c r="C11" s="121">
        <v>14030.79567</v>
      </c>
      <c r="D11" s="28">
        <f t="shared" si="0"/>
        <v>3.7224271260019204E-2</v>
      </c>
      <c r="E11" s="121">
        <v>1150239.314</v>
      </c>
      <c r="F11" s="28">
        <f t="shared" si="1"/>
        <v>5.0856801727018654E-2</v>
      </c>
      <c r="G11" s="121">
        <v>8598118.8269999996</v>
      </c>
      <c r="H11" s="28">
        <f t="shared" si="2"/>
        <v>0.1124677361599957</v>
      </c>
      <c r="I11" s="121">
        <v>66975.979959999997</v>
      </c>
      <c r="J11" s="28">
        <f t="shared" si="3"/>
        <v>5.4813959728111594E-2</v>
      </c>
      <c r="K11" s="121">
        <v>12658.85008</v>
      </c>
      <c r="L11" s="28">
        <f t="shared" si="4"/>
        <v>9.8845349824830925E-2</v>
      </c>
      <c r="M11" s="121">
        <v>79634.830040000001</v>
      </c>
      <c r="N11" s="28">
        <f t="shared" si="5"/>
        <v>5.8991149560387791E-2</v>
      </c>
    </row>
    <row r="12" spans="2:32" x14ac:dyDescent="0.2">
      <c r="B12" s="25" t="s">
        <v>56</v>
      </c>
      <c r="C12" s="121">
        <v>7595.0685149999999</v>
      </c>
      <c r="D12" s="28">
        <f t="shared" si="0"/>
        <v>2.0150025507483658E-2</v>
      </c>
      <c r="E12" s="121">
        <v>703595.27500000002</v>
      </c>
      <c r="F12" s="28">
        <f t="shared" si="1"/>
        <v>3.1108835319066625E-2</v>
      </c>
      <c r="G12" s="121">
        <v>6547488.6310000001</v>
      </c>
      <c r="H12" s="28">
        <f t="shared" si="2"/>
        <v>8.5644457663166862E-2</v>
      </c>
      <c r="I12" s="121">
        <v>42988.677340000002</v>
      </c>
      <c r="J12" s="28">
        <f t="shared" si="3"/>
        <v>3.5182458396082326E-2</v>
      </c>
      <c r="K12" s="121">
        <v>10332.466270000001</v>
      </c>
      <c r="L12" s="28">
        <f t="shared" si="4"/>
        <v>8.0680017265155571E-2</v>
      </c>
      <c r="M12" s="121">
        <v>53321.143609999999</v>
      </c>
      <c r="N12" s="28">
        <f t="shared" si="5"/>
        <v>3.9498741390525678E-2</v>
      </c>
    </row>
    <row r="13" spans="2:32" x14ac:dyDescent="0.2">
      <c r="B13" s="25" t="s">
        <v>57</v>
      </c>
      <c r="C13" s="121">
        <v>15757.701859999999</v>
      </c>
      <c r="D13" s="28">
        <f t="shared" si="0"/>
        <v>4.1805823580292299E-2</v>
      </c>
      <c r="E13" s="121">
        <v>2065445.0759999999</v>
      </c>
      <c r="F13" s="28">
        <f t="shared" si="1"/>
        <v>9.1321805323182487E-2</v>
      </c>
      <c r="G13" s="121">
        <v>28720306.100000001</v>
      </c>
      <c r="H13" s="28">
        <f t="shared" si="2"/>
        <v>0.37567610705098198</v>
      </c>
      <c r="I13" s="121">
        <v>137895.4382</v>
      </c>
      <c r="J13" s="28">
        <f t="shared" si="3"/>
        <v>0.11285531022762658</v>
      </c>
      <c r="K13" s="121">
        <v>52640.77102</v>
      </c>
      <c r="L13" s="28">
        <f t="shared" si="4"/>
        <v>0.41104013347480306</v>
      </c>
      <c r="M13" s="121">
        <v>190536.20920000001</v>
      </c>
      <c r="N13" s="28">
        <f t="shared" si="5"/>
        <v>0.14114364290023337</v>
      </c>
    </row>
    <row r="14" spans="2:32" x14ac:dyDescent="0.2">
      <c r="B14" s="25" t="s">
        <v>58</v>
      </c>
      <c r="C14" s="121">
        <v>846.1447604</v>
      </c>
      <c r="D14" s="28">
        <f t="shared" si="0"/>
        <v>2.2448564448642959E-3</v>
      </c>
      <c r="E14" s="121">
        <v>278821.2415</v>
      </c>
      <c r="F14" s="28">
        <f t="shared" si="1"/>
        <v>1.2327831629172333E-2</v>
      </c>
      <c r="G14" s="121">
        <v>5732245.6629999997</v>
      </c>
      <c r="H14" s="28">
        <f t="shared" si="2"/>
        <v>7.4980667957982347E-2</v>
      </c>
      <c r="I14" s="121">
        <v>20727.29031</v>
      </c>
      <c r="J14" s="28">
        <f t="shared" si="3"/>
        <v>1.6963467455104894E-2</v>
      </c>
      <c r="K14" s="121">
        <v>11629.92137</v>
      </c>
      <c r="L14" s="28">
        <f t="shared" si="4"/>
        <v>9.0811064116253989E-2</v>
      </c>
      <c r="M14" s="121">
        <v>32357.21168</v>
      </c>
      <c r="N14" s="28">
        <f t="shared" si="5"/>
        <v>2.3969274658001225E-2</v>
      </c>
    </row>
    <row r="15" spans="2:32" x14ac:dyDescent="0.2">
      <c r="B15" s="26" t="s">
        <v>50</v>
      </c>
      <c r="C15" s="121">
        <v>398.82408470000001</v>
      </c>
      <c r="D15" s="28">
        <f t="shared" si="0"/>
        <v>1.0580965087849273E-3</v>
      </c>
      <c r="E15" s="121">
        <v>344488.27029999997</v>
      </c>
      <c r="F15" s="28">
        <f t="shared" si="1"/>
        <v>1.5231240531160204E-2</v>
      </c>
      <c r="G15" s="121">
        <v>11353388.23</v>
      </c>
      <c r="H15" s="28">
        <f t="shared" si="2"/>
        <v>0.14850805131512293</v>
      </c>
      <c r="I15" s="121">
        <v>25461.465260000001</v>
      </c>
      <c r="J15" s="28">
        <f t="shared" si="3"/>
        <v>2.0837974035077523E-2</v>
      </c>
      <c r="K15" s="121">
        <v>20844.150160000001</v>
      </c>
      <c r="L15" s="28">
        <f t="shared" si="4"/>
        <v>0.1627594371799769</v>
      </c>
      <c r="M15" s="121">
        <v>46305.615420000002</v>
      </c>
      <c r="N15" s="28">
        <f t="shared" si="5"/>
        <v>3.4301843594755528E-2</v>
      </c>
    </row>
    <row r="16" spans="2:32" x14ac:dyDescent="0.2">
      <c r="B16" s="10" t="s">
        <v>0</v>
      </c>
      <c r="C16" s="90">
        <f t="shared" ref="C16:N16" si="6">SUM(C5:C15)</f>
        <v>376926.00002809998</v>
      </c>
      <c r="D16" s="29">
        <f t="shared" si="6"/>
        <v>0.99999999999999989</v>
      </c>
      <c r="E16" s="90">
        <f t="shared" si="6"/>
        <v>22617216.870500002</v>
      </c>
      <c r="F16" s="29">
        <f t="shared" si="6"/>
        <v>0.99999999999999967</v>
      </c>
      <c r="G16" s="90">
        <f t="shared" si="6"/>
        <v>76449647.877400011</v>
      </c>
      <c r="H16" s="29">
        <f t="shared" si="6"/>
        <v>0.99999999999999978</v>
      </c>
      <c r="I16" s="90">
        <f t="shared" si="6"/>
        <v>1221878.1546200002</v>
      </c>
      <c r="J16" s="29">
        <f t="shared" si="6"/>
        <v>0.99999999999999989</v>
      </c>
      <c r="K16" s="90">
        <f t="shared" si="6"/>
        <v>128067.2292873</v>
      </c>
      <c r="L16" s="29">
        <f t="shared" si="6"/>
        <v>1</v>
      </c>
      <c r="M16" s="90">
        <f t="shared" si="6"/>
        <v>1349945.3838999998</v>
      </c>
      <c r="N16" s="29">
        <f t="shared" si="6"/>
        <v>1.0000000000000002</v>
      </c>
    </row>
    <row r="18" spans="2:14" x14ac:dyDescent="0.2">
      <c r="B18" s="300" t="s">
        <v>425</v>
      </c>
      <c r="C18" s="292"/>
      <c r="D18" s="292"/>
      <c r="E18" s="292"/>
      <c r="F18" s="292"/>
      <c r="G18" s="292"/>
      <c r="H18" s="292"/>
      <c r="I18" s="292"/>
      <c r="J18" s="292"/>
      <c r="K18" s="292"/>
      <c r="L18" s="292"/>
      <c r="M18" s="292"/>
      <c r="N18" s="292"/>
    </row>
  </sheetData>
  <mergeCells count="8">
    <mergeCell ref="B18:N18"/>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84" orientation="landscape" r:id="rId1"/>
  <headerFooter alignWithMargins="0"/>
  <colBreaks count="1" manualBreakCount="1">
    <brk id="14" max="4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1:AF21"/>
  <sheetViews>
    <sheetView view="pageBreakPreview" zoomScaleNormal="100" zoomScaleSheetLayoutView="100" zoomScalePageLayoutView="70" workbookViewId="0">
      <selection activeCell="B1" sqref="B1"/>
    </sheetView>
  </sheetViews>
  <sheetFormatPr baseColWidth="10" defaultRowHeight="12.75" x14ac:dyDescent="0.2"/>
  <cols>
    <col min="1" max="1" width="2.140625" style="1" customWidth="1"/>
    <col min="2" max="2" width="5.7109375" style="1" customWidth="1"/>
    <col min="3" max="3" width="23.7109375" style="1" customWidth="1"/>
    <col min="4" max="5" width="23" style="71" customWidth="1"/>
    <col min="6" max="6" width="20.85546875" style="1" customWidth="1"/>
    <col min="7" max="7" width="20.85546875" style="71" customWidth="1"/>
    <col min="8" max="16384" width="11.42578125" style="1"/>
  </cols>
  <sheetData>
    <row r="1" spans="2:32" s="11" customFormat="1" ht="15.75" x14ac:dyDescent="0.2">
      <c r="B1" s="186" t="str">
        <f>Inhaltsverzeichnis!B21&amp;" "&amp;Inhaltsverzeichnis!C21&amp;" "&amp;Inhaltsverzeichnis!E21</f>
        <v>Tabelle 2: Entwicklung der Steuerbelastung von Pflichtigen mit Wohnsitz im Kanton Aargau, 2001 – 2014</v>
      </c>
      <c r="C1" s="187"/>
      <c r="D1" s="187"/>
      <c r="E1" s="187"/>
      <c r="F1" s="187"/>
      <c r="G1" s="187"/>
      <c r="H1" s="187"/>
      <c r="I1" s="187"/>
      <c r="J1" s="187"/>
      <c r="K1" s="187"/>
      <c r="L1" s="187"/>
      <c r="M1" s="187"/>
      <c r="N1" s="187"/>
      <c r="O1" s="187"/>
      <c r="P1" s="187"/>
      <c r="Q1" s="187"/>
      <c r="R1" s="187"/>
      <c r="S1" s="187"/>
      <c r="T1" s="69"/>
      <c r="U1" s="69"/>
      <c r="V1" s="69"/>
      <c r="W1" s="69"/>
      <c r="X1" s="69"/>
      <c r="Y1" s="69"/>
      <c r="Z1" s="69"/>
      <c r="AA1" s="69"/>
      <c r="AB1" s="69"/>
      <c r="AC1" s="69"/>
      <c r="AD1" s="69"/>
      <c r="AE1" s="69"/>
      <c r="AF1" s="69"/>
    </row>
    <row r="3" spans="2:32" s="45" customFormat="1" x14ac:dyDescent="0.2">
      <c r="B3" s="274" t="s">
        <v>4</v>
      </c>
      <c r="C3" s="276" t="s">
        <v>530</v>
      </c>
      <c r="D3" s="276" t="s">
        <v>531</v>
      </c>
      <c r="E3" s="278" t="s">
        <v>532</v>
      </c>
      <c r="F3" s="280" t="s">
        <v>34</v>
      </c>
      <c r="G3" s="281"/>
    </row>
    <row r="4" spans="2:32" s="45" customFormat="1" ht="14.25" x14ac:dyDescent="0.2">
      <c r="B4" s="275"/>
      <c r="C4" s="277"/>
      <c r="D4" s="277"/>
      <c r="E4" s="279"/>
      <c r="F4" s="70" t="s">
        <v>35</v>
      </c>
      <c r="G4" s="70" t="s">
        <v>36</v>
      </c>
    </row>
    <row r="5" spans="2:32" x14ac:dyDescent="0.2">
      <c r="B5" s="32">
        <v>2001</v>
      </c>
      <c r="C5" s="33">
        <v>3137.5449595078167</v>
      </c>
      <c r="D5" s="33">
        <v>373.44911006291665</v>
      </c>
      <c r="E5" s="33">
        <v>3510.9940695706914</v>
      </c>
      <c r="F5" s="84">
        <v>5.6330000988713602E-2</v>
      </c>
      <c r="G5" s="88">
        <f>0.00213039649137726*1000</f>
        <v>2.1303964913772604</v>
      </c>
    </row>
    <row r="6" spans="2:32" s="129" customFormat="1" x14ac:dyDescent="0.2">
      <c r="B6" s="131">
        <v>2002</v>
      </c>
      <c r="C6" s="33">
        <v>2940.2176032129742</v>
      </c>
      <c r="D6" s="33">
        <v>359.72438824140238</v>
      </c>
      <c r="E6" s="33">
        <v>3299.9419914544269</v>
      </c>
      <c r="F6" s="84">
        <v>5.2663706761124189E-2</v>
      </c>
      <c r="G6" s="88">
        <f>0.00212627007646136*1000</f>
        <v>2.1262700764613598</v>
      </c>
    </row>
    <row r="7" spans="2:32" x14ac:dyDescent="0.2">
      <c r="B7" s="131">
        <v>2003</v>
      </c>
      <c r="C7" s="33">
        <v>2928.4513937985548</v>
      </c>
      <c r="D7" s="33">
        <v>376.11167713391706</v>
      </c>
      <c r="E7" s="33">
        <v>3304.5630709325023</v>
      </c>
      <c r="F7" s="84">
        <v>5.2573511182298679E-2</v>
      </c>
      <c r="G7" s="88">
        <f>0.00213961143575647*1000</f>
        <v>2.1396114357564699</v>
      </c>
    </row>
    <row r="8" spans="2:32" s="129" customFormat="1" x14ac:dyDescent="0.2">
      <c r="B8" s="131">
        <v>2004</v>
      </c>
      <c r="C8" s="33">
        <v>2957.0869715224176</v>
      </c>
      <c r="D8" s="33">
        <v>373.5977890411836</v>
      </c>
      <c r="E8" s="33">
        <v>3330.6847605635139</v>
      </c>
      <c r="F8" s="84">
        <v>5.2960180666051591E-2</v>
      </c>
      <c r="G8" s="88">
        <f>0.00213649882647589*1000</f>
        <v>2.13649882647589</v>
      </c>
    </row>
    <row r="9" spans="2:32" x14ac:dyDescent="0.2">
      <c r="B9" s="131">
        <v>2005</v>
      </c>
      <c r="C9" s="33">
        <v>3005.4835860204162</v>
      </c>
      <c r="D9" s="33">
        <v>398.04577165836071</v>
      </c>
      <c r="E9" s="33">
        <v>3403.5293576786612</v>
      </c>
      <c r="F9" s="84">
        <v>5.3414524412626681E-2</v>
      </c>
      <c r="G9" s="88">
        <f>0.00215000768803265*1000</f>
        <v>2.15000768803265</v>
      </c>
    </row>
    <row r="10" spans="2:32" s="129" customFormat="1" x14ac:dyDescent="0.2">
      <c r="B10" s="131">
        <v>2006</v>
      </c>
      <c r="C10" s="33">
        <v>3079.0959058228177</v>
      </c>
      <c r="D10" s="33">
        <v>413.87457128947341</v>
      </c>
      <c r="E10" s="33">
        <v>3492.9704771124711</v>
      </c>
      <c r="F10" s="84">
        <v>5.4023153291580549E-2</v>
      </c>
      <c r="G10" s="88">
        <f>0.00215557034423136*1000</f>
        <v>2.1555703442313598</v>
      </c>
    </row>
    <row r="11" spans="2:32" x14ac:dyDescent="0.2">
      <c r="B11" s="131">
        <v>2007</v>
      </c>
      <c r="C11" s="33">
        <v>3177.7990457823103</v>
      </c>
      <c r="D11" s="33">
        <v>414.33546309209851</v>
      </c>
      <c r="E11" s="33">
        <v>3592.1345088743533</v>
      </c>
      <c r="F11" s="84">
        <v>5.5155046035241323E-2</v>
      </c>
      <c r="G11" s="88">
        <f>0.00215471557818785*1000</f>
        <v>2.15471557818785</v>
      </c>
    </row>
    <row r="12" spans="2:32" s="129" customFormat="1" x14ac:dyDescent="0.2">
      <c r="B12" s="131">
        <v>2008</v>
      </c>
      <c r="C12" s="33">
        <v>3291.9474023316761</v>
      </c>
      <c r="D12" s="33">
        <v>363.55912294402088</v>
      </c>
      <c r="E12" s="33">
        <v>3655.5065252757427</v>
      </c>
      <c r="F12" s="84">
        <v>5.5827973635942871E-2</v>
      </c>
      <c r="G12" s="88">
        <f>0.00213413749824456*1000</f>
        <v>2.1341374982445602</v>
      </c>
    </row>
    <row r="13" spans="2:32" x14ac:dyDescent="0.2">
      <c r="B13" s="131">
        <v>2009</v>
      </c>
      <c r="C13" s="33">
        <v>3207.1135030140013</v>
      </c>
      <c r="D13" s="33">
        <v>335.59710817955278</v>
      </c>
      <c r="E13" s="33">
        <v>3542.7106111934336</v>
      </c>
      <c r="F13" s="84">
        <v>5.3920842945966503E-2</v>
      </c>
      <c r="G13" s="88">
        <f>0.00184738950520312*1000</f>
        <v>1.8473895052031202</v>
      </c>
    </row>
    <row r="14" spans="2:32" s="129" customFormat="1" x14ac:dyDescent="0.2">
      <c r="B14" s="131">
        <v>2010</v>
      </c>
      <c r="C14" s="33">
        <v>3257.5325244363976</v>
      </c>
      <c r="D14" s="33">
        <v>337.16927457229218</v>
      </c>
      <c r="E14" s="33">
        <v>3594.7017990086438</v>
      </c>
      <c r="F14" s="84">
        <v>5.4265127140645658E-2</v>
      </c>
      <c r="G14" s="88">
        <f>0.00186440459775916*1000</f>
        <v>1.8644045977591599</v>
      </c>
    </row>
    <row r="15" spans="2:32" x14ac:dyDescent="0.2">
      <c r="B15" s="32">
        <v>2011</v>
      </c>
      <c r="C15" s="35">
        <v>3329.3039642999947</v>
      </c>
      <c r="D15" s="35">
        <v>347.64919093278223</v>
      </c>
      <c r="E15" s="35">
        <v>3676.9531552327558</v>
      </c>
      <c r="F15" s="84">
        <v>5.45692518486195E-2</v>
      </c>
      <c r="G15" s="115">
        <f>0.0018748808536976*1000</f>
        <v>1.8748808536976</v>
      </c>
    </row>
    <row r="16" spans="2:32" s="157" customFormat="1" x14ac:dyDescent="0.2">
      <c r="B16" s="158">
        <v>2012</v>
      </c>
      <c r="C16" s="35">
        <v>3364.8901254627363</v>
      </c>
      <c r="D16" s="35">
        <v>365.23117089148747</v>
      </c>
      <c r="E16" s="35">
        <v>3730.1212963542498</v>
      </c>
      <c r="F16" s="162">
        <v>5.4740860773432702E-2</v>
      </c>
      <c r="G16" s="115">
        <f>0.00185117006597822*1000</f>
        <v>1.85117006597822</v>
      </c>
    </row>
    <row r="17" spans="2:7" s="190" customFormat="1" x14ac:dyDescent="0.2">
      <c r="B17" s="191">
        <v>2013</v>
      </c>
      <c r="C17" s="35">
        <v>3404.395768456588</v>
      </c>
      <c r="D17" s="35">
        <v>380.61034723270302</v>
      </c>
      <c r="E17" s="35">
        <v>3785.0061156893639</v>
      </c>
      <c r="F17" s="162">
        <v>5.5056246906935759E-2</v>
      </c>
      <c r="G17" s="194">
        <f>0.00184860849334777*1000</f>
        <v>1.84860849334777</v>
      </c>
    </row>
    <row r="18" spans="2:7" s="202" customFormat="1" x14ac:dyDescent="0.2">
      <c r="B18" s="203">
        <v>2014</v>
      </c>
      <c r="C18" s="35">
        <v>3308.799023</v>
      </c>
      <c r="D18" s="35">
        <v>338.20522060000002</v>
      </c>
      <c r="E18" s="35">
        <v>3647.0042429999999</v>
      </c>
      <c r="F18" s="162">
        <v>5.3807529E-2</v>
      </c>
      <c r="G18" s="194">
        <f>0.001669853*1000</f>
        <v>1.669853</v>
      </c>
    </row>
    <row r="20" spans="2:7" x14ac:dyDescent="0.2">
      <c r="B20" s="83" t="s">
        <v>37</v>
      </c>
    </row>
    <row r="21" spans="2:7" x14ac:dyDescent="0.2">
      <c r="B21" s="83" t="s">
        <v>576</v>
      </c>
    </row>
  </sheetData>
  <mergeCells count="5">
    <mergeCell ref="B3:B4"/>
    <mergeCell ref="C3:C4"/>
    <mergeCell ref="D3:D4"/>
    <mergeCell ref="E3:E4"/>
    <mergeCell ref="F3:G3"/>
  </mergeCells>
  <phoneticPr fontId="5" type="noConversion"/>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F21"/>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24" customWidth="1"/>
    <col min="2" max="2" width="16.28515625" style="124" customWidth="1"/>
    <col min="3" max="3" width="13.140625" style="124" customWidth="1"/>
    <col min="4" max="4" width="10.42578125" style="124" customWidth="1"/>
    <col min="5" max="5" width="12.140625" style="124" customWidth="1"/>
    <col min="6" max="6" width="10.42578125" style="124" customWidth="1"/>
    <col min="7" max="7" width="13.140625" style="124" customWidth="1"/>
    <col min="8" max="8" width="10.42578125" style="124" customWidth="1"/>
    <col min="9" max="9" width="12" style="124" bestFit="1" customWidth="1"/>
    <col min="10" max="10" width="10.42578125" style="124" customWidth="1"/>
    <col min="11" max="11" width="12.140625" style="124" customWidth="1"/>
    <col min="12" max="12" width="10.42578125" style="124" customWidth="1"/>
    <col min="13" max="13" width="12.140625" style="124" customWidth="1"/>
    <col min="14" max="14" width="10.42578125" style="124" customWidth="1"/>
    <col min="15" max="15" width="11.42578125" style="124"/>
    <col min="16" max="16" width="26.7109375" style="124" bestFit="1" customWidth="1"/>
    <col min="17" max="16384" width="11.42578125" style="124"/>
  </cols>
  <sheetData>
    <row r="1" spans="2:32" s="11" customFormat="1" ht="15.75" x14ac:dyDescent="0.2">
      <c r="B1" s="186" t="str">
        <f>Inhaltsverzeichnis!B57&amp;" "&amp;Inhaltsverzeichnis!C57&amp;" "&amp;Inhaltsverzeichnis!E57</f>
        <v>Tabelle 22b: Verteilung der Pflichtigen und Vermögenssteuer nach Stufen des steuerbaren Vermögens, 2014</v>
      </c>
      <c r="C1" s="187"/>
      <c r="D1" s="187"/>
      <c r="E1" s="187"/>
      <c r="F1" s="187"/>
      <c r="G1" s="187"/>
      <c r="H1" s="187"/>
      <c r="I1" s="187"/>
      <c r="J1" s="187"/>
      <c r="K1" s="187"/>
      <c r="L1" s="187"/>
      <c r="M1" s="187"/>
      <c r="N1" s="187"/>
      <c r="O1" s="187"/>
      <c r="P1" s="187"/>
      <c r="Q1" s="187"/>
      <c r="R1" s="187"/>
      <c r="S1" s="187"/>
      <c r="T1" s="123"/>
      <c r="U1" s="123"/>
      <c r="V1" s="123"/>
      <c r="W1" s="123"/>
      <c r="X1" s="123"/>
      <c r="Y1" s="123"/>
      <c r="Z1" s="123"/>
      <c r="AA1" s="123"/>
      <c r="AB1" s="123"/>
      <c r="AC1" s="123"/>
      <c r="AD1" s="123"/>
      <c r="AE1" s="123"/>
      <c r="AF1" s="123"/>
    </row>
    <row r="3" spans="2:32" s="125" customFormat="1" ht="27" customHeight="1" x14ac:dyDescent="0.2">
      <c r="B3" s="284" t="s">
        <v>111</v>
      </c>
      <c r="C3" s="287" t="s">
        <v>420</v>
      </c>
      <c r="D3" s="283"/>
      <c r="E3" s="282" t="s">
        <v>109</v>
      </c>
      <c r="F3" s="286"/>
      <c r="G3" s="282" t="s">
        <v>110</v>
      </c>
      <c r="H3" s="283"/>
      <c r="I3" s="282" t="s">
        <v>122</v>
      </c>
      <c r="J3" s="283"/>
      <c r="K3" s="282" t="s">
        <v>123</v>
      </c>
      <c r="L3" s="283"/>
      <c r="M3" s="282" t="s">
        <v>124</v>
      </c>
      <c r="N3" s="283"/>
    </row>
    <row r="4" spans="2:32" ht="24.75" customHeight="1" x14ac:dyDescent="0.2">
      <c r="B4" s="285"/>
      <c r="C4" s="126" t="s">
        <v>1</v>
      </c>
      <c r="D4" s="126" t="s">
        <v>2</v>
      </c>
      <c r="E4" s="126" t="s">
        <v>3</v>
      </c>
      <c r="F4" s="126" t="s">
        <v>2</v>
      </c>
      <c r="G4" s="126" t="s">
        <v>3</v>
      </c>
      <c r="H4" s="126" t="s">
        <v>2</v>
      </c>
      <c r="I4" s="126" t="s">
        <v>3</v>
      </c>
      <c r="J4" s="126" t="s">
        <v>2</v>
      </c>
      <c r="K4" s="126" t="s">
        <v>3</v>
      </c>
      <c r="L4" s="126" t="s">
        <v>2</v>
      </c>
      <c r="M4" s="126" t="s">
        <v>3</v>
      </c>
      <c r="N4" s="126" t="s">
        <v>2</v>
      </c>
    </row>
    <row r="5" spans="2:32" x14ac:dyDescent="0.2">
      <c r="B5" s="25">
        <v>0</v>
      </c>
      <c r="C5" s="121">
        <v>246808.8493</v>
      </c>
      <c r="D5" s="28">
        <f t="shared" ref="D5:D10" si="0">C5/SUM($C$5:$C$10)</f>
        <v>0.67819015028750174</v>
      </c>
      <c r="E5" s="121">
        <v>12238297.890000001</v>
      </c>
      <c r="F5" s="28">
        <f t="shared" ref="F5:F10" si="1">E5/SUM($E$5:$E$10)</f>
        <v>0.54687041399248704</v>
      </c>
      <c r="G5" s="121">
        <v>0</v>
      </c>
      <c r="H5" s="28">
        <f t="shared" ref="H5:H10" si="2">G5/SUM($G$5:$G$10)</f>
        <v>0</v>
      </c>
      <c r="I5" s="121">
        <v>604281.35750000004</v>
      </c>
      <c r="J5" s="28">
        <f t="shared" ref="J5:J10" si="3">I5/SUM($I$5:$I$10)</f>
        <v>0.50183339464727839</v>
      </c>
      <c r="K5" s="121">
        <v>0</v>
      </c>
      <c r="L5" s="28">
        <f t="shared" ref="L5:L10" si="4">K5/SUM($K$5:$K$10)</f>
        <v>0</v>
      </c>
      <c r="M5" s="121">
        <v>604281.35750000004</v>
      </c>
      <c r="N5" s="28">
        <f t="shared" ref="N5:N10" si="5">M5/SUM($M$5:$M$10)</f>
        <v>0.45529583595830414</v>
      </c>
    </row>
    <row r="6" spans="2:32" x14ac:dyDescent="0.2">
      <c r="B6" s="25" t="s">
        <v>457</v>
      </c>
      <c r="C6" s="121">
        <v>48220.132010000001</v>
      </c>
      <c r="D6" s="28">
        <f t="shared" si="0"/>
        <v>0.13250099689494835</v>
      </c>
      <c r="E6" s="121">
        <v>3310494.2319999998</v>
      </c>
      <c r="F6" s="28">
        <f t="shared" si="1"/>
        <v>0.14792999544919397</v>
      </c>
      <c r="G6" s="121">
        <v>4012692.0079999999</v>
      </c>
      <c r="H6" s="28">
        <f t="shared" si="2"/>
        <v>5.444079702133111E-2</v>
      </c>
      <c r="I6" s="121">
        <v>181509.4804</v>
      </c>
      <c r="J6" s="28">
        <f t="shared" si="3"/>
        <v>0.1507369333494549</v>
      </c>
      <c r="K6" s="121">
        <v>4617.7690359999997</v>
      </c>
      <c r="L6" s="28">
        <f t="shared" si="4"/>
        <v>3.7518256737050275E-2</v>
      </c>
      <c r="M6" s="121">
        <v>186127.2494</v>
      </c>
      <c r="N6" s="28">
        <f t="shared" si="5"/>
        <v>0.14023759058327853</v>
      </c>
    </row>
    <row r="7" spans="2:32" x14ac:dyDescent="0.2">
      <c r="B7" s="25" t="s">
        <v>458</v>
      </c>
      <c r="C7" s="121">
        <v>31574.659169999999</v>
      </c>
      <c r="D7" s="28">
        <f t="shared" si="0"/>
        <v>8.6761973521258764E-2</v>
      </c>
      <c r="E7" s="121">
        <v>2397858.5350000001</v>
      </c>
      <c r="F7" s="28">
        <f t="shared" si="1"/>
        <v>0.10714871475733202</v>
      </c>
      <c r="G7" s="121">
        <v>10424321.300000001</v>
      </c>
      <c r="H7" s="28">
        <f t="shared" si="2"/>
        <v>0.14142833759655907</v>
      </c>
      <c r="I7" s="121">
        <v>133697.30220000001</v>
      </c>
      <c r="J7" s="28">
        <f t="shared" si="3"/>
        <v>0.11103068162781943</v>
      </c>
      <c r="K7" s="121">
        <v>13653.72824</v>
      </c>
      <c r="L7" s="28">
        <f t="shared" si="4"/>
        <v>0.11093324017131152</v>
      </c>
      <c r="M7" s="121">
        <v>147351.03049999999</v>
      </c>
      <c r="N7" s="28">
        <f t="shared" si="5"/>
        <v>0.11102164542750281</v>
      </c>
    </row>
    <row r="8" spans="2:32" x14ac:dyDescent="0.2">
      <c r="B8" s="25" t="s">
        <v>459</v>
      </c>
      <c r="C8" s="121">
        <v>20853.96156</v>
      </c>
      <c r="D8" s="28">
        <f t="shared" si="0"/>
        <v>5.7303258633466608E-2</v>
      </c>
      <c r="E8" s="121">
        <v>1820388.764</v>
      </c>
      <c r="F8" s="28">
        <f t="shared" si="1"/>
        <v>8.1344380235211913E-2</v>
      </c>
      <c r="G8" s="121">
        <v>14616442.98</v>
      </c>
      <c r="H8" s="28">
        <f t="shared" si="2"/>
        <v>0.1983034840106373</v>
      </c>
      <c r="I8" s="121">
        <v>107481.6719</v>
      </c>
      <c r="J8" s="28">
        <f t="shared" si="3"/>
        <v>8.9259566926060574E-2</v>
      </c>
      <c r="K8" s="121">
        <v>22015.264080000001</v>
      </c>
      <c r="L8" s="28">
        <f t="shared" si="4"/>
        <v>0.17886869686381626</v>
      </c>
      <c r="M8" s="121">
        <v>129496.936</v>
      </c>
      <c r="N8" s="28">
        <f t="shared" si="5"/>
        <v>9.7569476533386199E-2</v>
      </c>
    </row>
    <row r="9" spans="2:32" x14ac:dyDescent="0.2">
      <c r="B9" s="25" t="s">
        <v>553</v>
      </c>
      <c r="C9" s="121">
        <v>10829.746510000001</v>
      </c>
      <c r="D9" s="28">
        <f t="shared" si="0"/>
        <v>2.9758363340793098E-2</v>
      </c>
      <c r="E9" s="121">
        <v>1208113.4069999999</v>
      </c>
      <c r="F9" s="28">
        <f t="shared" si="1"/>
        <v>5.3984752207724196E-2</v>
      </c>
      <c r="G9" s="121">
        <v>14851965.779999999</v>
      </c>
      <c r="H9" s="28">
        <f t="shared" si="2"/>
        <v>0.20149885732190378</v>
      </c>
      <c r="I9" s="121">
        <v>76697.466650000002</v>
      </c>
      <c r="J9" s="28">
        <f t="shared" si="3"/>
        <v>6.3694419118028006E-2</v>
      </c>
      <c r="K9" s="121">
        <v>25800.255120000002</v>
      </c>
      <c r="L9" s="28">
        <f t="shared" si="4"/>
        <v>0.20962083376782295</v>
      </c>
      <c r="M9" s="121">
        <v>102497.7218</v>
      </c>
      <c r="N9" s="28">
        <f t="shared" si="5"/>
        <v>7.7226916487743366E-2</v>
      </c>
    </row>
    <row r="10" spans="2:32" x14ac:dyDescent="0.2">
      <c r="B10" s="26" t="s">
        <v>648</v>
      </c>
      <c r="C10" s="121">
        <v>5635.4379950000002</v>
      </c>
      <c r="D10" s="28">
        <f t="shared" si="0"/>
        <v>1.5485257322031312E-2</v>
      </c>
      <c r="E10" s="121">
        <v>1403636.693</v>
      </c>
      <c r="F10" s="28">
        <f t="shared" si="1"/>
        <v>6.2721743358050863E-2</v>
      </c>
      <c r="G10" s="121">
        <v>29802022.120000001</v>
      </c>
      <c r="H10" s="28">
        <f t="shared" si="2"/>
        <v>0.40432852404956865</v>
      </c>
      <c r="I10" s="121">
        <v>100480.0817</v>
      </c>
      <c r="J10" s="28">
        <f t="shared" si="3"/>
        <v>8.3445004331358791E-2</v>
      </c>
      <c r="K10" s="121">
        <v>56993.569819999997</v>
      </c>
      <c r="L10" s="28">
        <f t="shared" si="4"/>
        <v>0.46305897245999905</v>
      </c>
      <c r="M10" s="121">
        <v>157473.65150000001</v>
      </c>
      <c r="N10" s="28">
        <f t="shared" si="5"/>
        <v>0.11864853500978501</v>
      </c>
    </row>
    <row r="11" spans="2:32" x14ac:dyDescent="0.2">
      <c r="B11" s="10" t="s">
        <v>0</v>
      </c>
      <c r="C11" s="90">
        <f t="shared" ref="C11:N11" si="6">SUM(C5:C10)</f>
        <v>363922.78654500004</v>
      </c>
      <c r="D11" s="29">
        <f t="shared" si="6"/>
        <v>0.99999999999999989</v>
      </c>
      <c r="E11" s="90">
        <f t="shared" si="6"/>
        <v>22378789.521000002</v>
      </c>
      <c r="F11" s="29">
        <f t="shared" si="6"/>
        <v>1</v>
      </c>
      <c r="G11" s="90">
        <f t="shared" si="6"/>
        <v>73707444.188000008</v>
      </c>
      <c r="H11" s="29">
        <f t="shared" si="6"/>
        <v>0.99999999999999989</v>
      </c>
      <c r="I11" s="90">
        <f t="shared" si="6"/>
        <v>1204147.36035</v>
      </c>
      <c r="J11" s="29">
        <f t="shared" si="6"/>
        <v>1</v>
      </c>
      <c r="K11" s="90">
        <f t="shared" si="6"/>
        <v>123080.58629599999</v>
      </c>
      <c r="L11" s="29">
        <f t="shared" si="6"/>
        <v>1</v>
      </c>
      <c r="M11" s="90">
        <f t="shared" si="6"/>
        <v>1327227.9467</v>
      </c>
      <c r="N11" s="29">
        <f t="shared" si="6"/>
        <v>1</v>
      </c>
    </row>
    <row r="13" spans="2:32" x14ac:dyDescent="0.2">
      <c r="B13" s="300" t="s">
        <v>33</v>
      </c>
      <c r="C13" s="292"/>
      <c r="D13" s="292"/>
      <c r="E13" s="292"/>
      <c r="F13" s="292"/>
      <c r="G13" s="292"/>
      <c r="H13" s="292"/>
      <c r="I13" s="292"/>
      <c r="J13" s="292"/>
      <c r="K13" s="292"/>
      <c r="L13" s="292"/>
      <c r="M13" s="292"/>
      <c r="N13" s="292"/>
    </row>
    <row r="17" spans="16:23" x14ac:dyDescent="0.2">
      <c r="P17" s="134" t="s">
        <v>464</v>
      </c>
      <c r="Q17" s="134" t="s">
        <v>468</v>
      </c>
      <c r="R17" s="134" t="s">
        <v>475</v>
      </c>
      <c r="S17" s="134" t="s">
        <v>476</v>
      </c>
      <c r="T17" s="134" t="s">
        <v>477</v>
      </c>
      <c r="U17" s="134" t="s">
        <v>478</v>
      </c>
      <c r="V17" s="134" t="s">
        <v>479</v>
      </c>
      <c r="W17" s="134" t="s">
        <v>0</v>
      </c>
    </row>
    <row r="18" spans="16:23" x14ac:dyDescent="0.2">
      <c r="P18" s="134" t="s">
        <v>10</v>
      </c>
      <c r="Q18" s="138">
        <f>C5</f>
        <v>246808.8493</v>
      </c>
      <c r="R18" s="138">
        <f>C6</f>
        <v>48220.132010000001</v>
      </c>
      <c r="S18" s="138">
        <f>C7</f>
        <v>31574.659169999999</v>
      </c>
      <c r="T18" s="138">
        <f>C8</f>
        <v>20853.96156</v>
      </c>
      <c r="U18" s="138">
        <f>C9</f>
        <v>10829.746510000001</v>
      </c>
      <c r="V18" s="138">
        <f>C10</f>
        <v>5635.4379950000002</v>
      </c>
      <c r="W18" s="135">
        <f>C11</f>
        <v>363922.78654500004</v>
      </c>
    </row>
    <row r="19" spans="16:23" x14ac:dyDescent="0.2">
      <c r="P19" s="134" t="s">
        <v>460</v>
      </c>
      <c r="Q19" s="138">
        <f>K5</f>
        <v>0</v>
      </c>
      <c r="R19" s="138">
        <f>K6</f>
        <v>4617.7690359999997</v>
      </c>
      <c r="S19" s="138">
        <f>K7</f>
        <v>13653.72824</v>
      </c>
      <c r="T19" s="138">
        <f>K8</f>
        <v>22015.264080000001</v>
      </c>
      <c r="U19" s="138">
        <f>K9</f>
        <v>25800.255120000002</v>
      </c>
      <c r="V19" s="138">
        <f>K10</f>
        <v>56993.569819999997</v>
      </c>
      <c r="W19" s="135">
        <f>K11</f>
        <v>123080.58629599999</v>
      </c>
    </row>
    <row r="20" spans="16:23" x14ac:dyDescent="0.2">
      <c r="P20" s="134" t="s">
        <v>10</v>
      </c>
      <c r="Q20" s="137">
        <f>Q18/$W$18</f>
        <v>0.67819015028750174</v>
      </c>
      <c r="R20" s="137">
        <f t="shared" ref="R20:V20" si="7">R18/$W$18</f>
        <v>0.13250099689494835</v>
      </c>
      <c r="S20" s="137">
        <f t="shared" si="7"/>
        <v>8.6761973521258764E-2</v>
      </c>
      <c r="T20" s="137">
        <f t="shared" si="7"/>
        <v>5.7303258633466608E-2</v>
      </c>
      <c r="U20" s="137">
        <f t="shared" si="7"/>
        <v>2.9758363340793098E-2</v>
      </c>
      <c r="V20" s="137">
        <f t="shared" si="7"/>
        <v>1.5485257322031312E-2</v>
      </c>
      <c r="W20" s="137">
        <v>0.99999999999999989</v>
      </c>
    </row>
    <row r="21" spans="16:23" x14ac:dyDescent="0.2">
      <c r="P21" s="134" t="s">
        <v>463</v>
      </c>
      <c r="Q21" s="137">
        <f>Q19/$W$19</f>
        <v>0</v>
      </c>
      <c r="R21" s="137">
        <f t="shared" ref="R21:V21" si="8">R19/$W$19</f>
        <v>3.7518256737050275E-2</v>
      </c>
      <c r="S21" s="137">
        <f t="shared" si="8"/>
        <v>0.11093324017131152</v>
      </c>
      <c r="T21" s="137">
        <f t="shared" si="8"/>
        <v>0.17886869686381626</v>
      </c>
      <c r="U21" s="137">
        <f t="shared" si="8"/>
        <v>0.20962083376782295</v>
      </c>
      <c r="V21" s="137">
        <f t="shared" si="8"/>
        <v>0.46305897245999905</v>
      </c>
      <c r="W21" s="137">
        <v>1</v>
      </c>
    </row>
  </sheetData>
  <mergeCells count="8">
    <mergeCell ref="B13:N13"/>
    <mergeCell ref="B3:B4"/>
    <mergeCell ref="C3:D3"/>
    <mergeCell ref="E3:F3"/>
    <mergeCell ref="G3:H3"/>
    <mergeCell ref="I3:J3"/>
    <mergeCell ref="K3:L3"/>
    <mergeCell ref="M3:N3"/>
  </mergeCells>
  <pageMargins left="0.78740157480314965" right="0.78740157480314965" top="0.98425196850393704" bottom="0.98425196850393704" header="0.51181102362204722" footer="0.51181102362204722"/>
  <pageSetup paperSize="9" scale="74" orientation="landscape" r:id="rId1"/>
  <headerFooter alignWithMargins="0"/>
  <colBreaks count="1" manualBreakCount="1">
    <brk id="14" max="4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D16"/>
  <sheetViews>
    <sheetView view="pageBreakPreview" zoomScaleNormal="100" zoomScaleSheetLayoutView="100" workbookViewId="0">
      <selection activeCell="B1" sqref="B1"/>
    </sheetView>
  </sheetViews>
  <sheetFormatPr baseColWidth="10" defaultRowHeight="12.75" x14ac:dyDescent="0.2"/>
  <cols>
    <col min="1" max="1" width="2" style="1" customWidth="1"/>
    <col min="2" max="2" width="18.28515625" style="1" customWidth="1"/>
    <col min="3" max="4" width="12.7109375" style="1" customWidth="1"/>
    <col min="5" max="8" width="12.140625" style="76" customWidth="1"/>
    <col min="9" max="10" width="12.5703125" style="76" bestFit="1" customWidth="1"/>
    <col min="11" max="11" width="12.140625" style="76" customWidth="1"/>
    <col min="12" max="12" width="11.42578125" style="1"/>
    <col min="13" max="13" width="4.42578125" style="1" customWidth="1"/>
    <col min="14" max="16384" width="11.42578125" style="1"/>
  </cols>
  <sheetData>
    <row r="1" spans="2:30" s="11" customFormat="1" ht="15.75" x14ac:dyDescent="0.2">
      <c r="B1" s="188" t="str">
        <f>Inhaltsverzeichnis!B58&amp;" "&amp;Inhaltsverzeichnis!C58&amp;" "&amp;Inhaltsverzeichnis!E58</f>
        <v>Tabelle 23: Verteilung der Pflichtigen nach Einkommens- und Vermögenssteuerstufen, 2014</v>
      </c>
      <c r="C1" s="189"/>
      <c r="D1" s="189"/>
      <c r="E1" s="189"/>
      <c r="F1" s="189"/>
      <c r="G1" s="189"/>
      <c r="H1" s="189"/>
      <c r="I1" s="189"/>
      <c r="J1" s="189"/>
      <c r="K1" s="189"/>
      <c r="L1" s="189"/>
      <c r="M1" s="189"/>
      <c r="N1" s="189"/>
      <c r="O1" s="189"/>
      <c r="P1" s="189"/>
      <c r="Q1" s="189"/>
      <c r="R1" s="189"/>
      <c r="S1" s="189"/>
      <c r="T1" s="92"/>
      <c r="U1" s="92"/>
      <c r="V1" s="92"/>
      <c r="W1" s="92"/>
      <c r="X1" s="92"/>
      <c r="Y1" s="92"/>
      <c r="Z1" s="92"/>
      <c r="AA1" s="92"/>
      <c r="AB1" s="92"/>
      <c r="AC1" s="92"/>
      <c r="AD1" s="92"/>
    </row>
    <row r="3" spans="2:30" s="45" customFormat="1" ht="14.25" x14ac:dyDescent="0.2">
      <c r="B3" s="278" t="s">
        <v>543</v>
      </c>
      <c r="C3" s="280" t="s">
        <v>544</v>
      </c>
      <c r="D3" s="289"/>
      <c r="E3" s="290"/>
      <c r="F3" s="290"/>
      <c r="G3" s="290"/>
      <c r="H3" s="290"/>
      <c r="I3" s="290"/>
      <c r="J3" s="290"/>
      <c r="K3" s="290"/>
      <c r="L3" s="291"/>
    </row>
    <row r="4" spans="2:30" s="45" customFormat="1" ht="27.75" customHeight="1" x14ac:dyDescent="0.2">
      <c r="B4" s="288"/>
      <c r="C4" s="96" t="s">
        <v>11</v>
      </c>
      <c r="D4" s="96" t="s">
        <v>118</v>
      </c>
      <c r="E4" s="93" t="s">
        <v>119</v>
      </c>
      <c r="F4" s="93" t="s">
        <v>16</v>
      </c>
      <c r="G4" s="93" t="s">
        <v>17</v>
      </c>
      <c r="H4" s="93" t="s">
        <v>18</v>
      </c>
      <c r="I4" s="93" t="s">
        <v>19</v>
      </c>
      <c r="J4" s="93" t="s">
        <v>20</v>
      </c>
      <c r="K4" s="93" t="s">
        <v>120</v>
      </c>
      <c r="L4" s="97" t="s">
        <v>0</v>
      </c>
    </row>
    <row r="5" spans="2:30" x14ac:dyDescent="0.2">
      <c r="B5" s="107">
        <v>0</v>
      </c>
      <c r="C5" s="33">
        <v>46735</v>
      </c>
      <c r="D5" s="33">
        <v>4183</v>
      </c>
      <c r="E5" s="33">
        <v>1013</v>
      </c>
      <c r="F5" s="33">
        <v>821</v>
      </c>
      <c r="G5" s="33">
        <v>590</v>
      </c>
      <c r="H5" s="33">
        <v>186</v>
      </c>
      <c r="I5" s="33">
        <v>50</v>
      </c>
      <c r="J5" s="33">
        <v>23</v>
      </c>
      <c r="K5" s="33">
        <v>4</v>
      </c>
      <c r="L5" s="242">
        <v>53605</v>
      </c>
    </row>
    <row r="6" spans="2:30" x14ac:dyDescent="0.2">
      <c r="B6" s="106" t="s">
        <v>112</v>
      </c>
      <c r="C6" s="33">
        <v>21464</v>
      </c>
      <c r="D6" s="33">
        <v>4275</v>
      </c>
      <c r="E6" s="33">
        <v>1241</v>
      </c>
      <c r="F6" s="33">
        <v>880</v>
      </c>
      <c r="G6" s="33">
        <v>533</v>
      </c>
      <c r="H6" s="33">
        <v>105</v>
      </c>
      <c r="I6" s="33">
        <v>28</v>
      </c>
      <c r="J6" s="33">
        <v>8</v>
      </c>
      <c r="K6" s="33">
        <v>0</v>
      </c>
      <c r="L6" s="242">
        <v>28534</v>
      </c>
    </row>
    <row r="7" spans="2:30" x14ac:dyDescent="0.2">
      <c r="B7" s="98" t="s">
        <v>113</v>
      </c>
      <c r="C7" s="33">
        <v>18711</v>
      </c>
      <c r="D7" s="33">
        <v>3902</v>
      </c>
      <c r="E7" s="33">
        <v>1754</v>
      </c>
      <c r="F7" s="33">
        <v>1387</v>
      </c>
      <c r="G7" s="33">
        <v>729</v>
      </c>
      <c r="H7" s="33">
        <v>127</v>
      </c>
      <c r="I7" s="33">
        <v>28</v>
      </c>
      <c r="J7" s="33">
        <v>5</v>
      </c>
      <c r="K7" s="33">
        <v>3</v>
      </c>
      <c r="L7" s="242">
        <v>26646</v>
      </c>
    </row>
    <row r="8" spans="2:30" x14ac:dyDescent="0.2">
      <c r="B8" s="98" t="s">
        <v>114</v>
      </c>
      <c r="C8" s="33">
        <v>63200</v>
      </c>
      <c r="D8" s="33">
        <v>11785</v>
      </c>
      <c r="E8" s="33">
        <v>5393</v>
      </c>
      <c r="F8" s="33">
        <v>5433</v>
      </c>
      <c r="G8" s="33">
        <v>3945</v>
      </c>
      <c r="H8" s="33">
        <v>806</v>
      </c>
      <c r="I8" s="33">
        <v>153</v>
      </c>
      <c r="J8" s="33">
        <v>32</v>
      </c>
      <c r="K8" s="33">
        <v>1</v>
      </c>
      <c r="L8" s="242">
        <v>90748</v>
      </c>
    </row>
    <row r="9" spans="2:30" x14ac:dyDescent="0.2">
      <c r="B9" s="98" t="s">
        <v>58</v>
      </c>
      <c r="C9" s="33">
        <v>66670</v>
      </c>
      <c r="D9" s="33">
        <v>15269</v>
      </c>
      <c r="E9" s="33">
        <v>6336</v>
      </c>
      <c r="F9" s="33">
        <v>6386</v>
      </c>
      <c r="G9" s="33">
        <v>5573</v>
      </c>
      <c r="H9" s="33">
        <v>1585</v>
      </c>
      <c r="I9" s="33">
        <v>346</v>
      </c>
      <c r="J9" s="33">
        <v>56</v>
      </c>
      <c r="K9" s="33">
        <v>10</v>
      </c>
      <c r="L9" s="242">
        <v>102231</v>
      </c>
    </row>
    <row r="10" spans="2:30" x14ac:dyDescent="0.2">
      <c r="B10" s="98" t="s">
        <v>115</v>
      </c>
      <c r="C10" s="33">
        <v>27825</v>
      </c>
      <c r="D10" s="33">
        <v>10211</v>
      </c>
      <c r="E10" s="33">
        <v>4455</v>
      </c>
      <c r="F10" s="33">
        <v>4650</v>
      </c>
      <c r="G10" s="33">
        <v>4930</v>
      </c>
      <c r="H10" s="33">
        <v>2123</v>
      </c>
      <c r="I10" s="33">
        <v>775</v>
      </c>
      <c r="J10" s="33">
        <v>169</v>
      </c>
      <c r="K10" s="33">
        <v>14</v>
      </c>
      <c r="L10" s="242">
        <v>55152</v>
      </c>
    </row>
    <row r="11" spans="2:30" x14ac:dyDescent="0.2">
      <c r="B11" s="98" t="s">
        <v>116</v>
      </c>
      <c r="C11" s="33">
        <v>5835</v>
      </c>
      <c r="D11" s="33">
        <v>2689</v>
      </c>
      <c r="E11" s="33">
        <v>1544</v>
      </c>
      <c r="F11" s="33">
        <v>1786</v>
      </c>
      <c r="G11" s="33">
        <v>2435</v>
      </c>
      <c r="H11" s="33">
        <v>1464</v>
      </c>
      <c r="I11" s="33">
        <v>949</v>
      </c>
      <c r="J11" s="33">
        <v>414</v>
      </c>
      <c r="K11" s="33">
        <v>60</v>
      </c>
      <c r="L11" s="242">
        <v>17176</v>
      </c>
    </row>
    <row r="12" spans="2:30" x14ac:dyDescent="0.2">
      <c r="B12" s="98" t="s">
        <v>117</v>
      </c>
      <c r="C12" s="33">
        <v>373</v>
      </c>
      <c r="D12" s="33">
        <v>169</v>
      </c>
      <c r="E12" s="33">
        <v>129</v>
      </c>
      <c r="F12" s="33">
        <v>191</v>
      </c>
      <c r="G12" s="33">
        <v>377</v>
      </c>
      <c r="H12" s="33">
        <v>341</v>
      </c>
      <c r="I12" s="33">
        <v>298</v>
      </c>
      <c r="J12" s="33">
        <v>236</v>
      </c>
      <c r="K12" s="33">
        <v>94</v>
      </c>
      <c r="L12" s="242">
        <v>2208</v>
      </c>
    </row>
    <row r="13" spans="2:30" s="76" customFormat="1" x14ac:dyDescent="0.2">
      <c r="B13" s="108" t="s">
        <v>467</v>
      </c>
      <c r="C13" s="33">
        <v>42</v>
      </c>
      <c r="D13" s="33">
        <v>16</v>
      </c>
      <c r="E13" s="33">
        <v>18</v>
      </c>
      <c r="F13" s="33">
        <v>36</v>
      </c>
      <c r="G13" s="33">
        <v>79</v>
      </c>
      <c r="H13" s="33">
        <v>64</v>
      </c>
      <c r="I13" s="33">
        <v>96</v>
      </c>
      <c r="J13" s="33">
        <v>138</v>
      </c>
      <c r="K13" s="33">
        <v>137</v>
      </c>
      <c r="L13" s="242">
        <v>626</v>
      </c>
    </row>
    <row r="14" spans="2:30" x14ac:dyDescent="0.2">
      <c r="B14" s="58" t="s">
        <v>0</v>
      </c>
      <c r="C14" s="242">
        <v>250855</v>
      </c>
      <c r="D14" s="242">
        <v>52499</v>
      </c>
      <c r="E14" s="242">
        <v>21883</v>
      </c>
      <c r="F14" s="242">
        <v>21570</v>
      </c>
      <c r="G14" s="242">
        <v>19191</v>
      </c>
      <c r="H14" s="242">
        <v>6801</v>
      </c>
      <c r="I14" s="242">
        <v>2723</v>
      </c>
      <c r="J14" s="242">
        <v>1081</v>
      </c>
      <c r="K14" s="242">
        <v>323</v>
      </c>
      <c r="L14" s="31">
        <v>376926</v>
      </c>
    </row>
    <row r="16" spans="2:30" ht="24" customHeight="1" x14ac:dyDescent="0.2">
      <c r="B16" s="337" t="s">
        <v>609</v>
      </c>
      <c r="C16" s="338"/>
      <c r="D16" s="338"/>
      <c r="E16" s="338"/>
      <c r="F16" s="338"/>
      <c r="G16" s="338"/>
      <c r="H16" s="338"/>
      <c r="I16" s="338"/>
      <c r="J16" s="338"/>
      <c r="K16" s="338"/>
      <c r="L16" s="338"/>
      <c r="M16" s="114"/>
      <c r="N16" s="114"/>
    </row>
  </sheetData>
  <mergeCells count="3">
    <mergeCell ref="B3:B4"/>
    <mergeCell ref="C3:L3"/>
    <mergeCell ref="B16:L16"/>
  </mergeCells>
  <phoneticPr fontId="5" type="noConversion"/>
  <pageMargins left="0.78740157480314965" right="0.78740157480314965" top="0.98425196850393704" bottom="0.98425196850393704" header="0.51181102362204722" footer="0.51181102362204722"/>
  <pageSetup paperSize="9" scale="9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AF48"/>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76" customWidth="1"/>
    <col min="2" max="2" width="21.28515625" style="76" customWidth="1"/>
    <col min="3" max="3" width="13.140625" style="76" customWidth="1"/>
    <col min="4" max="4" width="10.42578125" style="76" customWidth="1"/>
    <col min="5" max="5" width="12.140625" style="76" customWidth="1"/>
    <col min="6" max="6" width="10.42578125" style="76" customWidth="1"/>
    <col min="7" max="7" width="13.140625" style="76" customWidth="1"/>
    <col min="8" max="8" width="10.42578125" style="76" customWidth="1"/>
    <col min="9" max="9" width="12" style="76" bestFit="1" customWidth="1"/>
    <col min="10" max="10" width="10.42578125" style="76" customWidth="1"/>
    <col min="11" max="11" width="12.140625" style="76" customWidth="1"/>
    <col min="12" max="12" width="10.42578125" style="76" customWidth="1"/>
    <col min="13" max="13" width="12.140625" style="76" customWidth="1"/>
    <col min="14" max="14" width="10.42578125" style="76" customWidth="1"/>
    <col min="15" max="16384" width="11.42578125" style="76"/>
  </cols>
  <sheetData>
    <row r="1" spans="2:32" s="11" customFormat="1" ht="15.75" x14ac:dyDescent="0.2">
      <c r="B1" s="186" t="str">
        <f>Inhaltsverzeichnis!B59&amp;" "&amp;Inhaltsverzeichnis!C59&amp;" "&amp;Inhaltsverzeichnis!E59</f>
        <v>Tabelle 24: Verteilung der Pflichtigen, Einkommen, Vermögen und Steuern nach verschiedenen Merkmalen,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7" customHeight="1" x14ac:dyDescent="0.2">
      <c r="B3" s="284" t="s">
        <v>542</v>
      </c>
      <c r="C3" s="287" t="s">
        <v>420</v>
      </c>
      <c r="D3" s="283"/>
      <c r="E3" s="282" t="s">
        <v>109</v>
      </c>
      <c r="F3" s="286"/>
      <c r="G3" s="282" t="s">
        <v>110</v>
      </c>
      <c r="H3" s="283"/>
      <c r="I3" s="282" t="s">
        <v>122</v>
      </c>
      <c r="J3" s="283"/>
      <c r="K3" s="282" t="s">
        <v>123</v>
      </c>
      <c r="L3" s="283"/>
      <c r="M3" s="282" t="s">
        <v>124</v>
      </c>
      <c r="N3" s="283"/>
    </row>
    <row r="4" spans="2:32" ht="15" customHeight="1" x14ac:dyDescent="0.2">
      <c r="B4" s="285"/>
      <c r="C4" s="47" t="s">
        <v>1</v>
      </c>
      <c r="D4" s="47" t="s">
        <v>2</v>
      </c>
      <c r="E4" s="47" t="s">
        <v>121</v>
      </c>
      <c r="F4" s="47" t="s">
        <v>2</v>
      </c>
      <c r="G4" s="47" t="s">
        <v>121</v>
      </c>
      <c r="H4" s="47" t="s">
        <v>2</v>
      </c>
      <c r="I4" s="47" t="s">
        <v>121</v>
      </c>
      <c r="J4" s="47" t="s">
        <v>2</v>
      </c>
      <c r="K4" s="47" t="s">
        <v>121</v>
      </c>
      <c r="L4" s="47" t="s">
        <v>2</v>
      </c>
      <c r="M4" s="47" t="s">
        <v>121</v>
      </c>
      <c r="N4" s="47" t="s">
        <v>2</v>
      </c>
    </row>
    <row r="5" spans="2:32" x14ac:dyDescent="0.2">
      <c r="B5" s="293" t="s">
        <v>128</v>
      </c>
      <c r="C5" s="339"/>
      <c r="D5" s="339"/>
      <c r="E5" s="339"/>
      <c r="F5" s="339"/>
      <c r="G5" s="339"/>
      <c r="H5" s="339"/>
      <c r="I5" s="339"/>
      <c r="J5" s="339"/>
      <c r="K5" s="339"/>
      <c r="L5" s="339"/>
      <c r="M5" s="339"/>
      <c r="N5" s="340"/>
    </row>
    <row r="6" spans="2:32" x14ac:dyDescent="0.2">
      <c r="B6" s="233" t="s">
        <v>125</v>
      </c>
      <c r="C6" s="121">
        <v>140626.77799999999</v>
      </c>
      <c r="D6" s="209">
        <f>C6/SUM($C$6:$C$10)</f>
        <v>0.38641927138574489</v>
      </c>
      <c r="E6" s="121">
        <v>5329.568612</v>
      </c>
      <c r="F6" s="209">
        <f>E6/SUM($E$6:$E$10)</f>
        <v>0.23815267609489404</v>
      </c>
      <c r="G6" s="121">
        <v>8976.8273800000006</v>
      </c>
      <c r="H6" s="209">
        <f>G6/SUM($G$6:$G$10)</f>
        <v>0.12178996950240069</v>
      </c>
      <c r="I6" s="121">
        <v>290.75036139999997</v>
      </c>
      <c r="J6" s="209">
        <f>I6/SUM($I$6:$I$10)</f>
        <v>0.24145745858366668</v>
      </c>
      <c r="K6" s="121">
        <v>14.29975544</v>
      </c>
      <c r="L6" s="209">
        <f>K6/SUM($K$6:$K$10)</f>
        <v>0.11618205493795984</v>
      </c>
      <c r="M6" s="121">
        <v>305.05011680000001</v>
      </c>
      <c r="N6" s="209">
        <f>M6/SUM($M$6:$M$10)</f>
        <v>0.22984003432052333</v>
      </c>
    </row>
    <row r="7" spans="2:32" x14ac:dyDescent="0.2">
      <c r="B7" s="233" t="s">
        <v>64</v>
      </c>
      <c r="C7" s="121">
        <v>137739.52230000001</v>
      </c>
      <c r="D7" s="209">
        <f t="shared" ref="D7:D10" si="0">C7/SUM($C$6:$C$10)</f>
        <v>0.3784855672949185</v>
      </c>
      <c r="E7" s="121">
        <v>12941.15697</v>
      </c>
      <c r="F7" s="209">
        <f t="shared" ref="F7:F10" si="1">E7/SUM($E$6:$E$10)</f>
        <v>0.5782777910448994</v>
      </c>
      <c r="G7" s="121">
        <v>44378.812109999999</v>
      </c>
      <c r="H7" s="209">
        <f t="shared" ref="H7:H10" si="2">G7/SUM($G$6:$G$10)</f>
        <v>0.6020940299544526</v>
      </c>
      <c r="I7" s="121">
        <v>691.70116619999999</v>
      </c>
      <c r="J7" s="209">
        <f t="shared" ref="J7:J10" si="3">I7/SUM($I$6:$I$10)</f>
        <v>0.5744323236119302</v>
      </c>
      <c r="K7" s="121">
        <v>76.706936949999999</v>
      </c>
      <c r="L7" s="209">
        <f t="shared" ref="L7:L10" si="4">K7/SUM($K$6:$K$10)</f>
        <v>0.62322531320490349</v>
      </c>
      <c r="M7" s="121">
        <v>768.40810309999995</v>
      </c>
      <c r="N7" s="209">
        <f t="shared" ref="N7:N10" si="5">M7/SUM($M$6:$M$10)</f>
        <v>0.57895714527611086</v>
      </c>
    </row>
    <row r="8" spans="2:32" x14ac:dyDescent="0.2">
      <c r="B8" s="233" t="s">
        <v>126</v>
      </c>
      <c r="C8" s="121">
        <v>27691.469160000001</v>
      </c>
      <c r="D8" s="209">
        <f t="shared" si="0"/>
        <v>7.609160565712475E-2</v>
      </c>
      <c r="E8" s="121">
        <v>1224.362181</v>
      </c>
      <c r="F8" s="209">
        <f t="shared" si="1"/>
        <v>5.4710831427894756E-2</v>
      </c>
      <c r="G8" s="121">
        <v>13405.63012</v>
      </c>
      <c r="H8" s="209">
        <f t="shared" si="2"/>
        <v>0.18187620351403749</v>
      </c>
      <c r="I8" s="121">
        <v>65.284772149999995</v>
      </c>
      <c r="J8" s="209">
        <f t="shared" si="3"/>
        <v>5.421659698598312E-2</v>
      </c>
      <c r="K8" s="121">
        <v>20.746766109999999</v>
      </c>
      <c r="L8" s="209">
        <f t="shared" si="4"/>
        <v>0.16856245759522048</v>
      </c>
      <c r="M8" s="121">
        <v>86.031538260000005</v>
      </c>
      <c r="N8" s="209">
        <f t="shared" si="5"/>
        <v>6.4820469219128041E-2</v>
      </c>
    </row>
    <row r="9" spans="2:32" x14ac:dyDescent="0.2">
      <c r="B9" s="233" t="s">
        <v>127</v>
      </c>
      <c r="C9" s="121">
        <v>49416.499470000002</v>
      </c>
      <c r="D9" s="209">
        <f t="shared" si="0"/>
        <v>0.1357884180467496</v>
      </c>
      <c r="E9" s="121">
        <v>2464.3460679999998</v>
      </c>
      <c r="F9" s="209">
        <f t="shared" si="1"/>
        <v>0.11011972143424387</v>
      </c>
      <c r="G9" s="121">
        <v>5897.9738349999998</v>
      </c>
      <c r="H9" s="209">
        <f t="shared" si="2"/>
        <v>8.0018699601039578E-2</v>
      </c>
      <c r="I9" s="121">
        <v>134.1598649</v>
      </c>
      <c r="J9" s="209">
        <f t="shared" si="3"/>
        <v>0.11141482289721437</v>
      </c>
      <c r="K9" s="121">
        <v>9.5050329980000008</v>
      </c>
      <c r="L9" s="209">
        <f t="shared" si="4"/>
        <v>7.7226094571639564E-2</v>
      </c>
      <c r="M9" s="121">
        <v>143.6648979</v>
      </c>
      <c r="N9" s="209">
        <f t="shared" si="5"/>
        <v>0.1082443285397571</v>
      </c>
    </row>
    <row r="10" spans="2:32" x14ac:dyDescent="0.2">
      <c r="B10" s="233" t="s">
        <v>68</v>
      </c>
      <c r="C10" s="121">
        <v>8448.51757</v>
      </c>
      <c r="D10" s="209">
        <f t="shared" si="0"/>
        <v>2.3215137615462286E-2</v>
      </c>
      <c r="E10" s="121">
        <v>419.35568919999997</v>
      </c>
      <c r="F10" s="209">
        <f t="shared" si="1"/>
        <v>1.873897999806793E-2</v>
      </c>
      <c r="G10" s="121">
        <v>1048.2007450000001</v>
      </c>
      <c r="H10" s="209">
        <f t="shared" si="2"/>
        <v>1.4221097428069703E-2</v>
      </c>
      <c r="I10" s="121">
        <v>22.25119574</v>
      </c>
      <c r="J10" s="209">
        <f t="shared" si="3"/>
        <v>1.8478797921205648E-2</v>
      </c>
      <c r="K10" s="121">
        <v>1.8220948079999999</v>
      </c>
      <c r="L10" s="209">
        <f t="shared" si="4"/>
        <v>1.4804079690276674E-2</v>
      </c>
      <c r="M10" s="121">
        <v>24.073290549999999</v>
      </c>
      <c r="N10" s="209">
        <f t="shared" si="5"/>
        <v>1.8138022644480854E-2</v>
      </c>
    </row>
    <row r="11" spans="2:32" x14ac:dyDescent="0.2">
      <c r="B11" s="293" t="s">
        <v>129</v>
      </c>
      <c r="C11" s="294"/>
      <c r="D11" s="294"/>
      <c r="E11" s="294"/>
      <c r="F11" s="294"/>
      <c r="G11" s="294"/>
      <c r="H11" s="294"/>
      <c r="I11" s="294"/>
      <c r="J11" s="294"/>
      <c r="K11" s="294"/>
      <c r="L11" s="294"/>
      <c r="M11" s="294"/>
      <c r="N11" s="295"/>
    </row>
    <row r="12" spans="2:32" x14ac:dyDescent="0.2">
      <c r="B12" s="233" t="s">
        <v>88</v>
      </c>
      <c r="C12" s="121">
        <v>13182.07653</v>
      </c>
      <c r="D12" s="209">
        <f>C12/SUM($C$12:$C$16)</f>
        <v>3.6222179591384289E-2</v>
      </c>
      <c r="E12" s="121">
        <v>33.335483770000003</v>
      </c>
      <c r="F12" s="209">
        <f>E12/SUM($E$12:$E$16)</f>
        <v>1.4896017380471884E-3</v>
      </c>
      <c r="G12" s="121">
        <v>14.994647730000001</v>
      </c>
      <c r="H12" s="209">
        <f>G12/SUM($G$12:$G$16)</f>
        <v>2.034346448125611E-4</v>
      </c>
      <c r="I12" s="121">
        <v>0.87868795300000002</v>
      </c>
      <c r="J12" s="209">
        <f>I12/SUM($I$12:$I$16)</f>
        <v>7.297179580598919E-4</v>
      </c>
      <c r="K12" s="121">
        <v>2.2459894000000001E-2</v>
      </c>
      <c r="L12" s="209">
        <f>K12/SUM($K$12:$K$16)</f>
        <v>1.8248120744229773E-4</v>
      </c>
      <c r="M12" s="121">
        <v>0.90114784699999995</v>
      </c>
      <c r="N12" s="209">
        <f>M12/SUM($M$12:$M$16)</f>
        <v>6.7896991566263043E-4</v>
      </c>
    </row>
    <row r="13" spans="2:32" x14ac:dyDescent="0.2">
      <c r="B13" s="233" t="s">
        <v>89</v>
      </c>
      <c r="C13" s="121">
        <v>94180.849239999996</v>
      </c>
      <c r="D13" s="209">
        <f t="shared" ref="D13:D16" si="6">C13/SUM($C$12:$C$16)</f>
        <v>0.2587934933829707</v>
      </c>
      <c r="E13" s="121">
        <v>3695.884247</v>
      </c>
      <c r="F13" s="209">
        <f>E13/SUM($E$12:$E$16)</f>
        <v>0.16515121352181966</v>
      </c>
      <c r="G13" s="121">
        <v>1171.2807339999999</v>
      </c>
      <c r="H13" s="209">
        <f>G13/SUM($G$12:$G$16)</f>
        <v>1.5890942180679414E-2</v>
      </c>
      <c r="I13" s="121">
        <v>178.4048215</v>
      </c>
      <c r="J13" s="209">
        <f>I13/SUM($I$12:$I$16)</f>
        <v>0.14815862856494574</v>
      </c>
      <c r="K13" s="121">
        <v>1.837450952</v>
      </c>
      <c r="L13" s="209">
        <f>K13/SUM($K$12:$K$16)</f>
        <v>1.4928844648018349E-2</v>
      </c>
      <c r="M13" s="121">
        <v>180.24227239999999</v>
      </c>
      <c r="N13" s="209">
        <f>M13/SUM($M$12:$M$16)</f>
        <v>0.13580355420886764</v>
      </c>
    </row>
    <row r="14" spans="2:32" x14ac:dyDescent="0.2">
      <c r="B14" s="233" t="s">
        <v>90</v>
      </c>
      <c r="C14" s="121">
        <v>89749.282739999995</v>
      </c>
      <c r="D14" s="209">
        <f t="shared" si="6"/>
        <v>0.24661627704919764</v>
      </c>
      <c r="E14" s="121">
        <v>6734.1077009999999</v>
      </c>
      <c r="F14" s="209">
        <f>E14/SUM($E$12:$E$16)</f>
        <v>0.30091474312528194</v>
      </c>
      <c r="G14" s="121">
        <v>8289.5215939999998</v>
      </c>
      <c r="H14" s="209">
        <f>G14/SUM($G$12:$G$16)</f>
        <v>0.11246518834633838</v>
      </c>
      <c r="I14" s="121">
        <v>373.90652519999998</v>
      </c>
      <c r="J14" s="209">
        <f>I14/SUM($I$12:$I$16)</f>
        <v>0.31051558763570924</v>
      </c>
      <c r="K14" s="121">
        <v>13.66925936</v>
      </c>
      <c r="L14" s="209">
        <f>K14/SUM($K$12:$K$16)</f>
        <v>0.11105942676553726</v>
      </c>
      <c r="M14" s="121">
        <v>387.5757845</v>
      </c>
      <c r="N14" s="209">
        <f>M14/SUM($M$12:$M$16)</f>
        <v>0.29201900508434869</v>
      </c>
    </row>
    <row r="15" spans="2:32" x14ac:dyDescent="0.2">
      <c r="B15" s="233" t="s">
        <v>91</v>
      </c>
      <c r="C15" s="121">
        <v>89666.227979999996</v>
      </c>
      <c r="D15" s="209">
        <f t="shared" si="6"/>
        <v>0.24638805622027188</v>
      </c>
      <c r="E15" s="121">
        <v>7270.0886300000002</v>
      </c>
      <c r="F15" s="209">
        <f>E15/SUM($E$12:$E$16)</f>
        <v>0.32486514171277925</v>
      </c>
      <c r="G15" s="121">
        <v>21643.472890000001</v>
      </c>
      <c r="H15" s="209">
        <f>G15/SUM($G$12:$G$16)</f>
        <v>0.29364025745521433</v>
      </c>
      <c r="I15" s="121">
        <v>418.30712460000001</v>
      </c>
      <c r="J15" s="209">
        <f>I15/SUM($I$12:$I$16)</f>
        <v>0.34738864890869486</v>
      </c>
      <c r="K15" s="121">
        <v>36.535560629999999</v>
      </c>
      <c r="L15" s="209">
        <f>K15/SUM($K$12:$K$16)</f>
        <v>0.29684259499816318</v>
      </c>
      <c r="M15" s="121">
        <v>454.84268530000003</v>
      </c>
      <c r="N15" s="209">
        <f>M15/SUM($M$12:$M$16)</f>
        <v>0.34270125674273005</v>
      </c>
    </row>
    <row r="16" spans="2:32" x14ac:dyDescent="0.2">
      <c r="B16" s="233" t="s">
        <v>130</v>
      </c>
      <c r="C16" s="121">
        <v>77144.350009999995</v>
      </c>
      <c r="D16" s="209">
        <f t="shared" si="6"/>
        <v>0.21197999375617552</v>
      </c>
      <c r="E16" s="121">
        <v>4645.3734619999996</v>
      </c>
      <c r="F16" s="209">
        <f>E16/SUM($E$12:$E$16)</f>
        <v>0.207579299902072</v>
      </c>
      <c r="G16" s="121">
        <v>42588.174330000002</v>
      </c>
      <c r="H16" s="209">
        <f>G16/SUM($G$12:$G$16)</f>
        <v>0.5778001773729553</v>
      </c>
      <c r="I16" s="121">
        <v>232.6502011</v>
      </c>
      <c r="J16" s="209">
        <f>I16/SUM($I$12:$I$16)</f>
        <v>0.19320741693259019</v>
      </c>
      <c r="K16" s="121">
        <v>71.015855459999997</v>
      </c>
      <c r="L16" s="209">
        <f>K16/SUM($K$12:$K$16)</f>
        <v>0.5769866523808389</v>
      </c>
      <c r="M16" s="121">
        <v>303.66605659999999</v>
      </c>
      <c r="N16" s="209">
        <f>M16/SUM($M$12:$M$16)</f>
        <v>0.22879721404839087</v>
      </c>
    </row>
    <row r="17" spans="2:14" x14ac:dyDescent="0.2">
      <c r="B17" s="293" t="s">
        <v>131</v>
      </c>
      <c r="C17" s="294"/>
      <c r="D17" s="294"/>
      <c r="E17" s="294"/>
      <c r="F17" s="294"/>
      <c r="G17" s="294"/>
      <c r="H17" s="294"/>
      <c r="I17" s="294"/>
      <c r="J17" s="294"/>
      <c r="K17" s="294"/>
      <c r="L17" s="294"/>
      <c r="M17" s="294"/>
      <c r="N17" s="295"/>
    </row>
    <row r="18" spans="2:14" x14ac:dyDescent="0.2">
      <c r="B18" s="240" t="s">
        <v>132</v>
      </c>
      <c r="C18" s="121">
        <v>14252.2215</v>
      </c>
      <c r="D18" s="209">
        <f>C18/SUM($C$18:$C$22)</f>
        <v>3.9162762076937509E-2</v>
      </c>
      <c r="E18" s="121">
        <v>1186.137489</v>
      </c>
      <c r="F18" s="209">
        <f>E18/SUM($E$18:$E$22)</f>
        <v>5.3002754588405261E-2</v>
      </c>
      <c r="G18" s="121">
        <v>4719.0963279999996</v>
      </c>
      <c r="H18" s="209">
        <f>G18/SUM($G$18:$G$22)</f>
        <v>6.402469085626869E-2</v>
      </c>
      <c r="I18" s="121">
        <v>74.937065680000003</v>
      </c>
      <c r="J18" s="209">
        <f>I18/SUM($I$18:$I$22)</f>
        <v>6.2232470998164639E-2</v>
      </c>
      <c r="K18" s="121">
        <v>8.1808394030000002</v>
      </c>
      <c r="L18" s="209">
        <f>K18/SUM($K$18:$K$22)</f>
        <v>6.6467341836723662E-2</v>
      </c>
      <c r="M18" s="121">
        <v>83.11790508</v>
      </c>
      <c r="N18" s="209">
        <f>M18/SUM($M$18:$M$22)</f>
        <v>6.2625192071412761E-2</v>
      </c>
    </row>
    <row r="19" spans="2:14" x14ac:dyDescent="0.2">
      <c r="B19" s="240" t="s">
        <v>133</v>
      </c>
      <c r="C19" s="121">
        <v>241859.56760000001</v>
      </c>
      <c r="D19" s="209">
        <f t="shared" ref="D19:D22" si="7">C19/SUM($C$18:$C$22)</f>
        <v>0.66459033786064758</v>
      </c>
      <c r="E19" s="121">
        <v>16149.6422</v>
      </c>
      <c r="F19" s="209">
        <f t="shared" ref="F19:F22" si="8">E19/SUM($E$18:$E$22)</f>
        <v>0.72164949692198233</v>
      </c>
      <c r="G19" s="121">
        <v>28101.236069999999</v>
      </c>
      <c r="H19" s="209">
        <f t="shared" ref="H19:H22" si="9">G19/SUM($G$18:$G$22)</f>
        <v>0.38125370346557097</v>
      </c>
      <c r="I19" s="121">
        <v>891.82666099999994</v>
      </c>
      <c r="J19" s="209">
        <f t="shared" ref="J19:J22" si="10">I19/SUM($I$18:$I$22)</f>
        <v>0.74062917079077839</v>
      </c>
      <c r="K19" s="121">
        <v>47.994686299999998</v>
      </c>
      <c r="L19" s="209">
        <f t="shared" ref="L19:L22" si="11">K19/SUM($K$18:$K$22)</f>
        <v>0.38994521998299858</v>
      </c>
      <c r="M19" s="121">
        <v>939.82134729999996</v>
      </c>
      <c r="N19" s="209">
        <f t="shared" ref="N19:N22" si="12">M19/SUM($M$18:$M$22)</f>
        <v>0.70810846749358924</v>
      </c>
    </row>
    <row r="20" spans="2:14" ht="14.25" x14ac:dyDescent="0.2">
      <c r="B20" s="240" t="s">
        <v>578</v>
      </c>
      <c r="C20" s="121">
        <v>86648.116829999999</v>
      </c>
      <c r="D20" s="209">
        <f t="shared" si="7"/>
        <v>0.23809478289598396</v>
      </c>
      <c r="E20" s="121">
        <v>4287.0105169999997</v>
      </c>
      <c r="F20" s="209">
        <f t="shared" si="8"/>
        <v>0.19156579102986548</v>
      </c>
      <c r="G20" s="121">
        <v>35702.995949999997</v>
      </c>
      <c r="H20" s="209">
        <f t="shared" si="9"/>
        <v>0.48438792503100669</v>
      </c>
      <c r="I20" s="121">
        <v>199.47255770000001</v>
      </c>
      <c r="J20" s="209">
        <f t="shared" si="10"/>
        <v>0.16565460696051867</v>
      </c>
      <c r="K20" s="121">
        <v>57.858545509999999</v>
      </c>
      <c r="L20" s="209">
        <f t="shared" si="11"/>
        <v>0.47008669075920778</v>
      </c>
      <c r="M20" s="121">
        <v>257.33110319999997</v>
      </c>
      <c r="N20" s="209">
        <f t="shared" si="12"/>
        <v>0.19388613979548266</v>
      </c>
    </row>
    <row r="21" spans="2:14" ht="14.25" x14ac:dyDescent="0.2">
      <c r="B21" s="240" t="s">
        <v>579</v>
      </c>
      <c r="C21" s="121">
        <v>11681.43506</v>
      </c>
      <c r="D21" s="209">
        <f t="shared" si="7"/>
        <v>3.2098663494106956E-2</v>
      </c>
      <c r="E21" s="121">
        <v>677.42301850000001</v>
      </c>
      <c r="F21" s="209">
        <f t="shared" si="8"/>
        <v>3.0270762314715288E-2</v>
      </c>
      <c r="G21" s="121">
        <v>4227.6334180000003</v>
      </c>
      <c r="H21" s="209">
        <f t="shared" si="9"/>
        <v>5.7356939512992408E-2</v>
      </c>
      <c r="I21" s="121">
        <v>34.258296199999997</v>
      </c>
      <c r="J21" s="209">
        <f t="shared" si="10"/>
        <v>2.8450252293265848E-2</v>
      </c>
      <c r="K21" s="121">
        <v>7.281192442</v>
      </c>
      <c r="L21" s="209">
        <f t="shared" si="11"/>
        <v>5.9157927833653472E-2</v>
      </c>
      <c r="M21" s="121">
        <v>41.539488640000002</v>
      </c>
      <c r="N21" s="209">
        <f t="shared" si="12"/>
        <v>3.1297930958731866E-2</v>
      </c>
    </row>
    <row r="22" spans="2:14" ht="14.25" x14ac:dyDescent="0.2">
      <c r="B22" s="240" t="s">
        <v>580</v>
      </c>
      <c r="C22" s="121">
        <v>9481.4454569999998</v>
      </c>
      <c r="D22" s="209">
        <f t="shared" si="7"/>
        <v>2.6053453672324069E-2</v>
      </c>
      <c r="E22" s="121">
        <v>78.576297120000007</v>
      </c>
      <c r="F22" s="209">
        <f t="shared" si="8"/>
        <v>3.5111951450317713E-3</v>
      </c>
      <c r="G22" s="121">
        <v>956.48242289999996</v>
      </c>
      <c r="H22" s="209">
        <f t="shared" si="9"/>
        <v>1.2976741134161343E-2</v>
      </c>
      <c r="I22" s="121">
        <v>3.6527797620000002</v>
      </c>
      <c r="J22" s="209">
        <f t="shared" si="10"/>
        <v>3.0334989572725918E-3</v>
      </c>
      <c r="K22" s="121">
        <v>1.7653226440000001</v>
      </c>
      <c r="L22" s="209">
        <f t="shared" si="11"/>
        <v>1.4342819587416466E-2</v>
      </c>
      <c r="M22" s="121">
        <v>5.418102406</v>
      </c>
      <c r="N22" s="209">
        <f t="shared" si="12"/>
        <v>4.0822696807836052E-3</v>
      </c>
    </row>
    <row r="23" spans="2:14" x14ac:dyDescent="0.2">
      <c r="B23" s="293" t="s">
        <v>134</v>
      </c>
      <c r="C23" s="294"/>
      <c r="D23" s="294"/>
      <c r="E23" s="294"/>
      <c r="F23" s="294"/>
      <c r="G23" s="294"/>
      <c r="H23" s="294"/>
      <c r="I23" s="294"/>
      <c r="J23" s="294"/>
      <c r="K23" s="294"/>
      <c r="L23" s="294"/>
      <c r="M23" s="294"/>
      <c r="N23" s="295"/>
    </row>
    <row r="24" spans="2:14" x14ac:dyDescent="0.2">
      <c r="B24" s="231" t="s">
        <v>135</v>
      </c>
      <c r="C24" s="210">
        <f>SUM(C25:C26)</f>
        <v>285200.06828000001</v>
      </c>
      <c r="D24" s="209">
        <f>C24/SUM($C$24,$C$27)</f>
        <v>0.78368290977154709</v>
      </c>
      <c r="E24" s="210">
        <f t="shared" ref="E24:N24" si="13">SUM(E25:E26)</f>
        <v>15509.150653000001</v>
      </c>
      <c r="F24" s="209">
        <f t="shared" si="13"/>
        <v>0.69302902359250951</v>
      </c>
      <c r="G24" s="210">
        <f t="shared" si="13"/>
        <v>62157.311589999998</v>
      </c>
      <c r="H24" s="209">
        <f t="shared" si="13"/>
        <v>0.84329761089825261</v>
      </c>
      <c r="I24" s="210">
        <f t="shared" si="13"/>
        <v>840.32800840000004</v>
      </c>
      <c r="J24" s="209">
        <f t="shared" si="13"/>
        <v>0.69786143795203637</v>
      </c>
      <c r="K24" s="210">
        <f t="shared" si="13"/>
        <v>103.03970534</v>
      </c>
      <c r="L24" s="209">
        <f t="shared" si="13"/>
        <v>0.83717268849360194</v>
      </c>
      <c r="M24" s="210">
        <f t="shared" si="13"/>
        <v>943.36771369999997</v>
      </c>
      <c r="N24" s="209">
        <f t="shared" si="13"/>
        <v>0.71078047755916329</v>
      </c>
    </row>
    <row r="25" spans="2:14" ht="14.25" x14ac:dyDescent="0.2">
      <c r="B25" s="236" t="s">
        <v>582</v>
      </c>
      <c r="C25" s="35">
        <v>208708.9627</v>
      </c>
      <c r="D25" s="209">
        <f>C25/SUM($C$25:$C$26,$C$28:$C$29)</f>
        <v>0.57349792435378344</v>
      </c>
      <c r="E25" s="35">
        <v>8505.5489820000003</v>
      </c>
      <c r="F25" s="209">
        <f>E25/SUM($E$25:$E$26,$E$28:$E$29)</f>
        <v>0.38007189677879022</v>
      </c>
      <c r="G25" s="35">
        <v>27821.446909999999</v>
      </c>
      <c r="H25" s="209">
        <f>G25/SUM($G$25:$G$26,$G$28:$G$29)</f>
        <v>0.3774577617785862</v>
      </c>
      <c r="I25" s="35">
        <v>472.25590690000001</v>
      </c>
      <c r="J25" s="209">
        <f>I25/SUM($I$25:$I$26,$I$28:$I$29)</f>
        <v>0.39219112415172597</v>
      </c>
      <c r="K25" s="35">
        <v>43.846874929999998</v>
      </c>
      <c r="L25" s="209">
        <f>K25/SUM($K$25:$K$26,$K$28:$K$29)</f>
        <v>0.3562452556135271</v>
      </c>
      <c r="M25" s="35">
        <v>516.1027818</v>
      </c>
      <c r="N25" s="209">
        <f>M25/SUM($M$25:$M$26,$M$28:$M$29)</f>
        <v>0.38885768125203607</v>
      </c>
    </row>
    <row r="26" spans="2:14" x14ac:dyDescent="0.2">
      <c r="B26" s="236" t="s">
        <v>136</v>
      </c>
      <c r="C26" s="35">
        <v>76491.105580000003</v>
      </c>
      <c r="D26" s="209">
        <f>C26/SUM($C$25:$C$26,$C$28:$C$29)</f>
        <v>0.21018498541776376</v>
      </c>
      <c r="E26" s="35">
        <v>7003.6016710000004</v>
      </c>
      <c r="F26" s="209">
        <f>E26/SUM($E$25:$E$26,$E$28:$E$29)</f>
        <v>0.31295712681371929</v>
      </c>
      <c r="G26" s="35">
        <v>34335.864679999999</v>
      </c>
      <c r="H26" s="209">
        <f>G26/SUM($G$25:$G$26,$G$28:$G$29)</f>
        <v>0.46583984911966647</v>
      </c>
      <c r="I26" s="35">
        <v>368.07210149999997</v>
      </c>
      <c r="J26" s="209">
        <f>I26/SUM($I$25:$I$26,$I$28:$I$29)</f>
        <v>0.3056703138003104</v>
      </c>
      <c r="K26" s="35">
        <v>59.192830409999999</v>
      </c>
      <c r="L26" s="209">
        <f>K26/SUM($K$25:$K$26,$K$28:$K$29)</f>
        <v>0.48092743288007483</v>
      </c>
      <c r="M26" s="35">
        <v>427.26493190000002</v>
      </c>
      <c r="N26" s="209">
        <f>M26/SUM($M$25:$M$26,$M$28:$M$29)</f>
        <v>0.32192279630712717</v>
      </c>
    </row>
    <row r="27" spans="2:14" x14ac:dyDescent="0.2">
      <c r="B27" s="231" t="s">
        <v>137</v>
      </c>
      <c r="C27" s="210">
        <f>SUM(C28:C29)</f>
        <v>78722.718250000005</v>
      </c>
      <c r="D27" s="209">
        <f>C27/SUM($C$24,$C$27)</f>
        <v>0.21631709022845286</v>
      </c>
      <c r="E27" s="210">
        <f t="shared" ref="E27" si="14">SUM(E28:E29)</f>
        <v>6869.6388710000001</v>
      </c>
      <c r="F27" s="209">
        <f t="shared" ref="F27" si="15">SUM(F28:F29)</f>
        <v>0.30697097640749049</v>
      </c>
      <c r="G27" s="210">
        <f t="shared" ref="G27" si="16">SUM(G28:G29)</f>
        <v>11550.132599</v>
      </c>
      <c r="H27" s="209">
        <f t="shared" ref="H27" si="17">SUM(H28:H29)</f>
        <v>0.15670238910174727</v>
      </c>
      <c r="I27" s="210">
        <f t="shared" ref="I27" si="18">SUM(I28:I29)</f>
        <v>363.81935195</v>
      </c>
      <c r="J27" s="209">
        <f t="shared" ref="J27" si="19">SUM(J28:J29)</f>
        <v>0.30213856204796352</v>
      </c>
      <c r="K27" s="210">
        <f t="shared" ref="K27" si="20">SUM(K28:K29)</f>
        <v>20.040880967</v>
      </c>
      <c r="L27" s="209">
        <f t="shared" ref="L27" si="21">SUM(L28:L29)</f>
        <v>0.16282731150639806</v>
      </c>
      <c r="M27" s="210">
        <f t="shared" ref="M27" si="22">SUM(M28:M29)</f>
        <v>383.86023288000001</v>
      </c>
      <c r="N27" s="209">
        <f t="shared" ref="N27" si="23">SUM(N28:N29)</f>
        <v>0.28921952244083671</v>
      </c>
    </row>
    <row r="28" spans="2:14" ht="14.25" x14ac:dyDescent="0.2">
      <c r="B28" s="236" t="s">
        <v>582</v>
      </c>
      <c r="C28" s="35">
        <v>17474.301520000001</v>
      </c>
      <c r="D28" s="209">
        <f>C28/SUM($C$25:$C$26,$C$28:$C$29)</f>
        <v>4.8016508355020263E-2</v>
      </c>
      <c r="E28" s="35">
        <v>932.08356800000001</v>
      </c>
      <c r="F28" s="209">
        <f>E28/SUM($E$25:$E$26,$E$28:$E$29)</f>
        <v>4.1650312095763378E-2</v>
      </c>
      <c r="G28" s="35">
        <v>1507.1851690000001</v>
      </c>
      <c r="H28" s="209">
        <f>G28/SUM($G$25:$G$26,$G$28:$G$29)</f>
        <v>2.0448208258792542E-2</v>
      </c>
      <c r="I28" s="35">
        <v>40.190287249999997</v>
      </c>
      <c r="J28" s="209">
        <f>I28/SUM($I$25:$I$26,$I$28:$I$29)</f>
        <v>3.3376552217262011E-2</v>
      </c>
      <c r="K28" s="35">
        <v>2.5267744269999999</v>
      </c>
      <c r="L28" s="209">
        <f>K28/SUM($K$25:$K$26,$K$28:$K$29)</f>
        <v>2.0529431186632995E-2</v>
      </c>
      <c r="M28" s="35">
        <v>42.71706168</v>
      </c>
      <c r="N28" s="209">
        <f>M28/SUM($M$25:$M$26,$M$28:$M$29)</f>
        <v>3.2185173458766668E-2</v>
      </c>
    </row>
    <row r="29" spans="2:14" x14ac:dyDescent="0.2">
      <c r="B29" s="236" t="s">
        <v>136</v>
      </c>
      <c r="C29" s="35">
        <v>61248.416729999997</v>
      </c>
      <c r="D29" s="209">
        <f>C29/SUM($C$25:$C$26,$C$28:$C$29)</f>
        <v>0.16830058187343261</v>
      </c>
      <c r="E29" s="35">
        <v>5937.5553030000001</v>
      </c>
      <c r="F29" s="209">
        <f>E29/SUM($E$25:$E$26,$E$28:$E$29)</f>
        <v>0.26532066431172713</v>
      </c>
      <c r="G29" s="35">
        <v>10042.94743</v>
      </c>
      <c r="H29" s="209">
        <f>G29/SUM($G$25:$G$26,$G$28:$G$29)</f>
        <v>0.13625418084295474</v>
      </c>
      <c r="I29" s="35">
        <v>323.62906470000001</v>
      </c>
      <c r="J29" s="209">
        <f>I29/SUM($I$25:$I$26,$I$28:$I$29)</f>
        <v>0.26876200983070153</v>
      </c>
      <c r="K29" s="35">
        <v>17.51410654</v>
      </c>
      <c r="L29" s="209">
        <f>K29/SUM($K$25:$K$26,$K$28:$K$29)</f>
        <v>0.14229788031976506</v>
      </c>
      <c r="M29" s="35">
        <v>341.14317119999998</v>
      </c>
      <c r="N29" s="209">
        <f>M29/SUM($M$25:$M$26,$M$28:$M$29)</f>
        <v>0.25703434898207006</v>
      </c>
    </row>
    <row r="30" spans="2:14" x14ac:dyDescent="0.2">
      <c r="B30" s="293" t="s">
        <v>138</v>
      </c>
      <c r="C30" s="294"/>
      <c r="D30" s="294"/>
      <c r="E30" s="294"/>
      <c r="F30" s="294"/>
      <c r="G30" s="294"/>
      <c r="H30" s="294"/>
      <c r="I30" s="294"/>
      <c r="J30" s="294"/>
      <c r="K30" s="294"/>
      <c r="L30" s="294"/>
      <c r="M30" s="294"/>
      <c r="N30" s="295"/>
    </row>
    <row r="31" spans="2:14" ht="14.25" x14ac:dyDescent="0.2">
      <c r="B31" s="240" t="s">
        <v>581</v>
      </c>
      <c r="C31" s="148">
        <v>185752.54310000001</v>
      </c>
      <c r="D31" s="209">
        <f>C31/SUM($C$31,$C$32,$C$35,$C$38)</f>
        <v>0.51041745665487026</v>
      </c>
      <c r="E31" s="148">
        <v>7781.0972350000002</v>
      </c>
      <c r="F31" s="209">
        <f>E31/SUM($E$31,$E$32,$E$35,$E$38)</f>
        <v>0.34769964776627749</v>
      </c>
      <c r="G31" s="148">
        <v>11517.67993</v>
      </c>
      <c r="H31" s="209">
        <f>G31/SUM($G$31,$G$32,$G$35,$G$38)</f>
        <v>0.15626209885213851</v>
      </c>
      <c r="I31" s="148">
        <v>425.51014939999999</v>
      </c>
      <c r="J31" s="209">
        <f>I31/SUM($I$31,$I$32,$I$35,$I$38)</f>
        <v>0.35337049552677274</v>
      </c>
      <c r="K31" s="148">
        <v>18.334288350000001</v>
      </c>
      <c r="L31" s="209">
        <f>K31/SUM($K$31,$K$32,$K$35,$K$38)</f>
        <v>0.14896165919789678</v>
      </c>
      <c r="M31" s="148">
        <v>443.84443779999998</v>
      </c>
      <c r="N31" s="209">
        <f>M31/SUM($M$31,$M$32,$M$35,$M$38)</f>
        <v>0.33441462629453544</v>
      </c>
    </row>
    <row r="32" spans="2:14" x14ac:dyDescent="0.2">
      <c r="B32" s="240" t="s">
        <v>98</v>
      </c>
      <c r="C32" s="210">
        <f>SUM(C33:C34)</f>
        <v>22975.889492000002</v>
      </c>
      <c r="D32" s="209">
        <f t="shared" ref="D32:N32" si="24">SUM(D33:D34)</f>
        <v>6.3133967821784293E-2</v>
      </c>
      <c r="E32" s="210">
        <f t="shared" si="24"/>
        <v>1904.5397232</v>
      </c>
      <c r="F32" s="209">
        <f>SUM(F33:F34)</f>
        <v>8.5104680087386642E-2</v>
      </c>
      <c r="G32" s="210">
        <f t="shared" si="24"/>
        <v>4746.517202</v>
      </c>
      <c r="H32" s="209">
        <f t="shared" si="24"/>
        <v>6.4396713984940526E-2</v>
      </c>
      <c r="I32" s="210">
        <f t="shared" si="24"/>
        <v>100.37339700999999</v>
      </c>
      <c r="J32" s="209">
        <f t="shared" si="24"/>
        <v>8.3356406631294303E-2</v>
      </c>
      <c r="K32" s="210">
        <f t="shared" si="24"/>
        <v>8.0991944880000002</v>
      </c>
      <c r="L32" s="209">
        <f t="shared" si="24"/>
        <v>6.5803996646476876E-2</v>
      </c>
      <c r="M32" s="210">
        <f t="shared" si="24"/>
        <v>108.47259149000001</v>
      </c>
      <c r="N32" s="209">
        <f t="shared" si="24"/>
        <v>8.1728682522487522E-2</v>
      </c>
    </row>
    <row r="33" spans="2:14" x14ac:dyDescent="0.2">
      <c r="B33" s="236" t="s">
        <v>139</v>
      </c>
      <c r="C33" s="35">
        <v>9867.952072</v>
      </c>
      <c r="D33" s="209">
        <f>C33/SUM($C$31,$C$32,$C$35,$C$38)</f>
        <v>2.7115510317782546E-2</v>
      </c>
      <c r="E33" s="35">
        <v>776.70069620000004</v>
      </c>
      <c r="F33" s="209">
        <f>E33/SUM($E$31,$E$32,$E$35,$E$38)</f>
        <v>3.4707002153091915E-2</v>
      </c>
      <c r="G33" s="35">
        <v>2761.5235160000002</v>
      </c>
      <c r="H33" s="209">
        <f>G33/SUM($G$31,$G$32,$G$35,$G$38)</f>
        <v>3.7466005589868574E-2</v>
      </c>
      <c r="I33" s="35">
        <v>39.262975189999999</v>
      </c>
      <c r="J33" s="209">
        <f>I33/SUM($I$31,$I$32,$I$35,$I$38)</f>
        <v>3.2606453731619696E-2</v>
      </c>
      <c r="K33" s="35">
        <v>4.5736482360000004</v>
      </c>
      <c r="L33" s="209">
        <f>K33/SUM($K$31,$K$32,$K$35,$K$38)</f>
        <v>3.7159785905848577E-2</v>
      </c>
      <c r="M33" s="35">
        <v>43.836623420000002</v>
      </c>
      <c r="N33" s="209">
        <f>M33/SUM($M$31,$M$32,$M$35,$M$38)</f>
        <v>3.3028707336463965E-2</v>
      </c>
    </row>
    <row r="34" spans="2:14" x14ac:dyDescent="0.2">
      <c r="B34" s="236" t="s">
        <v>140</v>
      </c>
      <c r="C34" s="35">
        <v>13107.93742</v>
      </c>
      <c r="D34" s="209">
        <f>C34/SUM($C$31,$C$32,$C$35,$C$38)</f>
        <v>3.601845750400174E-2</v>
      </c>
      <c r="E34" s="35">
        <v>1127.839027</v>
      </c>
      <c r="F34" s="209">
        <f>E34/SUM($E$31,$E$32,$E$35,$E$38)</f>
        <v>5.039767793429472E-2</v>
      </c>
      <c r="G34" s="35">
        <v>1984.993686</v>
      </c>
      <c r="H34" s="209">
        <f>G34/SUM($G$31,$G$32,$G$35,$G$38)</f>
        <v>2.6930708395071955E-2</v>
      </c>
      <c r="I34" s="35">
        <v>61.110421819999999</v>
      </c>
      <c r="J34" s="209">
        <f>I34/SUM($I$31,$I$32,$I$35,$I$38)</f>
        <v>5.0749952899674607E-2</v>
      </c>
      <c r="K34" s="35">
        <v>3.5255462519999998</v>
      </c>
      <c r="L34" s="209">
        <f>K34/SUM($K$31,$K$32,$K$35,$K$38)</f>
        <v>2.8644210740628298E-2</v>
      </c>
      <c r="M34" s="35">
        <v>64.635968070000004</v>
      </c>
      <c r="N34" s="209">
        <f>M34/SUM($M$31,$M$32,$M$35,$M$38)</f>
        <v>4.8699975186023564E-2</v>
      </c>
    </row>
    <row r="35" spans="2:14" x14ac:dyDescent="0.2">
      <c r="B35" s="240" t="s">
        <v>99</v>
      </c>
      <c r="C35" s="210">
        <f>SUM(C36:C37)</f>
        <v>78050.003890000007</v>
      </c>
      <c r="D35" s="209">
        <f>SUM(D36:D37)</f>
        <v>0.2144685817625101</v>
      </c>
      <c r="E35" s="210">
        <f t="shared" ref="E35:N35" si="25">SUM(E36:E37)</f>
        <v>8047.7791039999993</v>
      </c>
      <c r="F35" s="209">
        <f t="shared" si="25"/>
        <v>0.35961637224825249</v>
      </c>
      <c r="G35" s="210">
        <f t="shared" si="25"/>
        <v>14855.072727000001</v>
      </c>
      <c r="H35" s="209">
        <f t="shared" si="25"/>
        <v>0.20154100973720851</v>
      </c>
      <c r="I35" s="210">
        <f t="shared" si="25"/>
        <v>445.61361279999994</v>
      </c>
      <c r="J35" s="209">
        <f t="shared" si="25"/>
        <v>0.37006568090244341</v>
      </c>
      <c r="K35" s="210">
        <f t="shared" si="25"/>
        <v>25.631247999999999</v>
      </c>
      <c r="L35" s="209">
        <f t="shared" si="25"/>
        <v>0.20824769178416319</v>
      </c>
      <c r="M35" s="210">
        <f t="shared" si="25"/>
        <v>471.24486079999997</v>
      </c>
      <c r="N35" s="209">
        <f t="shared" si="25"/>
        <v>0.35505947714199876</v>
      </c>
    </row>
    <row r="36" spans="2:14" x14ac:dyDescent="0.2">
      <c r="B36" s="236" t="s">
        <v>139</v>
      </c>
      <c r="C36" s="35">
        <v>30654.820380000001</v>
      </c>
      <c r="D36" s="209">
        <f>C36/SUM($C$31,$C$32,$C$35,$C$38)</f>
        <v>8.4234407731085773E-2</v>
      </c>
      <c r="E36" s="35">
        <v>3322.164389</v>
      </c>
      <c r="F36" s="209">
        <f>E36/SUM($E$31,$E$32,$E$35,$E$38)</f>
        <v>0.14845147837006442</v>
      </c>
      <c r="G36" s="35">
        <v>7291.9211290000003</v>
      </c>
      <c r="H36" s="209">
        <f>G36/SUM($G$31,$G$32,$G$35,$G$38)</f>
        <v>9.8930592550490803E-2</v>
      </c>
      <c r="I36" s="35">
        <v>188.17165059999999</v>
      </c>
      <c r="J36" s="209">
        <f>I36/SUM($I$31,$I$32,$I$35,$I$38)</f>
        <v>0.15626962014977672</v>
      </c>
      <c r="K36" s="35">
        <v>12.535573960000001</v>
      </c>
      <c r="L36" s="209">
        <f>K36/SUM($K$31,$K$32,$K$35,$K$38)</f>
        <v>0.10184850703951918</v>
      </c>
      <c r="M36" s="121">
        <v>200.70722459999999</v>
      </c>
      <c r="N36" s="209">
        <f>M36/SUM($M$31,$M$32,$M$35,$M$38)</f>
        <v>0.1512228740364816</v>
      </c>
    </row>
    <row r="37" spans="2:14" x14ac:dyDescent="0.2">
      <c r="B37" s="236" t="s">
        <v>140</v>
      </c>
      <c r="C37" s="35">
        <v>47395.183510000003</v>
      </c>
      <c r="D37" s="209">
        <f>C37/SUM($C$31,$C$32,$C$35,$C$38)</f>
        <v>0.13023417403142432</v>
      </c>
      <c r="E37" s="35">
        <v>4725.6147149999997</v>
      </c>
      <c r="F37" s="209">
        <f>E37/SUM($E$31,$E$32,$E$35,$E$38)</f>
        <v>0.21116489387818807</v>
      </c>
      <c r="G37" s="35">
        <v>7563.1515980000004</v>
      </c>
      <c r="H37" s="209">
        <f>G37/SUM($G$31,$G$32,$G$35,$G$38)</f>
        <v>0.10261041718671769</v>
      </c>
      <c r="I37" s="35">
        <v>257.44196219999998</v>
      </c>
      <c r="J37" s="209">
        <f>I37/SUM($I$31,$I$32,$I$35,$I$38)</f>
        <v>0.21379606075266672</v>
      </c>
      <c r="K37" s="35">
        <v>13.09567404</v>
      </c>
      <c r="L37" s="209">
        <f>K37/SUM($K$31,$K$32,$K$35,$K$38)</f>
        <v>0.10639918474464399</v>
      </c>
      <c r="M37" s="121">
        <v>270.53763620000001</v>
      </c>
      <c r="N37" s="209">
        <f>M37/SUM($M$31,$M$32,$M$35,$M$38)</f>
        <v>0.20383660310551716</v>
      </c>
    </row>
    <row r="38" spans="2:14" x14ac:dyDescent="0.2">
      <c r="B38" s="240" t="s">
        <v>141</v>
      </c>
      <c r="C38" s="35">
        <v>77144.350009999995</v>
      </c>
      <c r="D38" s="209">
        <f>C38/SUM($C$31,$C$32,$C$35,$C$38)</f>
        <v>0.2119799937608354</v>
      </c>
      <c r="E38" s="35">
        <v>4645.3734619999996</v>
      </c>
      <c r="F38" s="209">
        <f>E38/SUM($E$31,$E$32,$E$35,$E$38)</f>
        <v>0.20757929989808346</v>
      </c>
      <c r="G38" s="35">
        <v>42588.174330000002</v>
      </c>
      <c r="H38" s="209">
        <f>G38/SUM($G$31,$G$32,$G$35,$G$38)</f>
        <v>0.57780017742571244</v>
      </c>
      <c r="I38" s="35">
        <v>232.6502011</v>
      </c>
      <c r="J38" s="209">
        <f>I38/SUM($I$31,$I$32,$I$35,$I$38)</f>
        <v>0.19320741693948965</v>
      </c>
      <c r="K38" s="35">
        <v>71.015855459999997</v>
      </c>
      <c r="L38" s="209">
        <f>K38/SUM($K$31,$K$32,$K$35,$K$38)</f>
        <v>0.57698665237146318</v>
      </c>
      <c r="M38" s="121">
        <v>303.66605659999999</v>
      </c>
      <c r="N38" s="209">
        <f>M38/SUM($M$31,$M$32,$M$35,$M$38)</f>
        <v>0.22879721404097825</v>
      </c>
    </row>
    <row r="39" spans="2:14" x14ac:dyDescent="0.2">
      <c r="B39" s="293" t="s">
        <v>142</v>
      </c>
      <c r="C39" s="294"/>
      <c r="D39" s="294"/>
      <c r="E39" s="294"/>
      <c r="F39" s="294"/>
      <c r="G39" s="294"/>
      <c r="H39" s="294"/>
      <c r="I39" s="294"/>
      <c r="J39" s="294"/>
      <c r="K39" s="294"/>
      <c r="L39" s="294"/>
      <c r="M39" s="294"/>
      <c r="N39" s="295"/>
    </row>
    <row r="40" spans="2:14" x14ac:dyDescent="0.2">
      <c r="B40" s="230" t="s">
        <v>0</v>
      </c>
      <c r="C40" s="242">
        <f t="shared" ref="C40:N40" si="26">SUM(C6:C10)</f>
        <v>363922.78649999999</v>
      </c>
      <c r="D40" s="243">
        <f t="shared" si="26"/>
        <v>1</v>
      </c>
      <c r="E40" s="235">
        <f t="shared" si="26"/>
        <v>22378.7895202</v>
      </c>
      <c r="F40" s="243">
        <f t="shared" si="26"/>
        <v>1</v>
      </c>
      <c r="G40" s="235">
        <f t="shared" si="26"/>
        <v>73707.444189999995</v>
      </c>
      <c r="H40" s="243">
        <f t="shared" si="26"/>
        <v>1.0000000000000002</v>
      </c>
      <c r="I40" s="235">
        <f t="shared" si="26"/>
        <v>1204.1473603899999</v>
      </c>
      <c r="J40" s="243">
        <f t="shared" si="26"/>
        <v>1</v>
      </c>
      <c r="K40" s="235">
        <f t="shared" si="26"/>
        <v>123.080586306</v>
      </c>
      <c r="L40" s="243">
        <f t="shared" si="26"/>
        <v>1</v>
      </c>
      <c r="M40" s="235">
        <f t="shared" si="26"/>
        <v>1327.2279466099997</v>
      </c>
      <c r="N40" s="243">
        <f t="shared" si="26"/>
        <v>1.0000000000000002</v>
      </c>
    </row>
    <row r="42" spans="2:14" x14ac:dyDescent="0.2">
      <c r="B42" s="198" t="s">
        <v>33</v>
      </c>
      <c r="C42" s="197"/>
      <c r="D42" s="197"/>
      <c r="E42" s="197"/>
      <c r="F42" s="197"/>
      <c r="G42" s="197"/>
      <c r="H42" s="197"/>
      <c r="I42" s="197"/>
      <c r="J42" s="197"/>
      <c r="K42" s="197"/>
      <c r="L42" s="197"/>
      <c r="M42" s="197"/>
      <c r="N42" s="197"/>
    </row>
    <row r="43" spans="2:14" x14ac:dyDescent="0.2">
      <c r="B43" s="198" t="s">
        <v>650</v>
      </c>
      <c r="C43" s="197"/>
      <c r="D43" s="197"/>
      <c r="E43" s="197"/>
      <c r="F43" s="197"/>
      <c r="G43" s="197"/>
      <c r="H43" s="197"/>
      <c r="I43" s="197"/>
      <c r="J43" s="197"/>
      <c r="K43" s="197"/>
      <c r="L43" s="197"/>
      <c r="M43" s="197"/>
      <c r="N43" s="197"/>
    </row>
    <row r="44" spans="2:14" s="197" customFormat="1" x14ac:dyDescent="0.2">
      <c r="B44" s="198" t="s">
        <v>583</v>
      </c>
    </row>
    <row r="45" spans="2:14" x14ac:dyDescent="0.2">
      <c r="B45" s="198" t="s">
        <v>651</v>
      </c>
      <c r="C45" s="197"/>
      <c r="D45" s="197"/>
      <c r="E45" s="197"/>
      <c r="F45" s="197"/>
      <c r="G45" s="197"/>
      <c r="H45" s="197"/>
      <c r="I45" s="197"/>
      <c r="J45" s="197"/>
      <c r="K45" s="197"/>
      <c r="L45" s="197"/>
      <c r="M45" s="197"/>
      <c r="N45" s="197"/>
    </row>
    <row r="46" spans="2:14" x14ac:dyDescent="0.2">
      <c r="B46" s="198" t="s">
        <v>584</v>
      </c>
      <c r="C46" s="197"/>
      <c r="D46" s="197"/>
      <c r="E46" s="197"/>
      <c r="F46" s="197"/>
      <c r="G46" s="197"/>
      <c r="H46" s="197"/>
      <c r="I46" s="197"/>
      <c r="J46" s="197"/>
      <c r="K46" s="197"/>
      <c r="L46" s="197"/>
      <c r="M46" s="197"/>
      <c r="N46" s="197"/>
    </row>
    <row r="47" spans="2:14" x14ac:dyDescent="0.2">
      <c r="B47" s="198" t="s">
        <v>652</v>
      </c>
      <c r="C47" s="197"/>
      <c r="D47" s="197"/>
      <c r="E47" s="197"/>
      <c r="F47" s="197"/>
      <c r="G47" s="197"/>
      <c r="H47" s="197"/>
      <c r="I47" s="197"/>
      <c r="J47" s="197"/>
      <c r="K47" s="197"/>
      <c r="L47" s="197"/>
      <c r="M47" s="197"/>
      <c r="N47" s="197"/>
    </row>
    <row r="48" spans="2:14" x14ac:dyDescent="0.2">
      <c r="B48" s="198" t="s">
        <v>585</v>
      </c>
      <c r="C48" s="197"/>
      <c r="D48" s="197"/>
      <c r="E48" s="197"/>
      <c r="F48" s="197"/>
      <c r="G48" s="197"/>
      <c r="H48" s="197"/>
      <c r="I48" s="197"/>
      <c r="J48" s="197"/>
      <c r="K48" s="197"/>
      <c r="L48" s="197"/>
      <c r="M48" s="197"/>
      <c r="N48" s="197"/>
    </row>
  </sheetData>
  <mergeCells count="13">
    <mergeCell ref="K3:L3"/>
    <mergeCell ref="M3:N3"/>
    <mergeCell ref="B39:N39"/>
    <mergeCell ref="B5:N5"/>
    <mergeCell ref="B11:N11"/>
    <mergeCell ref="B17:N17"/>
    <mergeCell ref="B23:N23"/>
    <mergeCell ref="B30:N30"/>
    <mergeCell ref="B3:B4"/>
    <mergeCell ref="C3:D3"/>
    <mergeCell ref="E3:F3"/>
    <mergeCell ref="G3:H3"/>
    <mergeCell ref="I3:J3"/>
  </mergeCells>
  <pageMargins left="0.78740157480314965" right="0.78740157480314965" top="0.98425196850393704" bottom="0.98425196850393704" header="0.51181102362204722" footer="0.51181102362204722"/>
  <pageSetup paperSize="9" scale="73" orientation="landscape" r:id="rId1"/>
  <headerFooter alignWithMargins="0"/>
  <colBreaks count="1" manualBreakCount="1">
    <brk id="14" max="4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S50"/>
  <sheetViews>
    <sheetView view="pageBreakPreview" zoomScaleNormal="100" zoomScaleSheetLayoutView="100" workbookViewId="0">
      <selection activeCell="B1" sqref="B1"/>
    </sheetView>
  </sheetViews>
  <sheetFormatPr baseColWidth="10" defaultRowHeight="12.75" x14ac:dyDescent="0.2"/>
  <cols>
    <col min="1" max="1" width="2" style="86" customWidth="1"/>
    <col min="2" max="2" width="15.85546875" customWidth="1"/>
    <col min="5" max="5" width="12.28515625" bestFit="1" customWidth="1"/>
    <col min="7" max="7" width="14.28515625" bestFit="1" customWidth="1"/>
    <col min="9" max="11" width="17.7109375" customWidth="1"/>
    <col min="14" max="14" width="8.42578125" customWidth="1"/>
  </cols>
  <sheetData>
    <row r="1" spans="1:19" ht="15.75" x14ac:dyDescent="0.2">
      <c r="A1" s="11"/>
      <c r="B1" s="186" t="str">
        <f>Inhaltsverzeichnis!B60&amp;" "&amp;Inhaltsverzeichnis!C60&amp;" "&amp;Inhaltsverzeichnis!E60</f>
        <v>Tabelle 25: Verteilung der Pflichtigen, des steuerbaren Einkommens und der Einkommenssteuer nach Stufen des steuerbaren Einkommens und Tarifart, 2014</v>
      </c>
      <c r="C1" s="187"/>
      <c r="D1" s="187"/>
      <c r="E1" s="187"/>
      <c r="F1" s="187"/>
      <c r="G1" s="187"/>
      <c r="H1" s="187"/>
      <c r="I1" s="187"/>
      <c r="J1" s="187"/>
      <c r="K1" s="187"/>
      <c r="L1" s="187"/>
      <c r="M1" s="187"/>
      <c r="N1" s="187"/>
      <c r="O1" s="187"/>
      <c r="P1" s="187"/>
      <c r="Q1" s="187"/>
      <c r="R1" s="187"/>
      <c r="S1" s="187"/>
    </row>
    <row r="3" spans="1:19" ht="18.75" customHeight="1" x14ac:dyDescent="0.2">
      <c r="B3" s="278" t="s">
        <v>545</v>
      </c>
      <c r="C3" s="329" t="s">
        <v>420</v>
      </c>
      <c r="D3" s="344"/>
      <c r="E3" s="329" t="s">
        <v>109</v>
      </c>
      <c r="F3" s="347"/>
      <c r="G3" s="271" t="s">
        <v>144</v>
      </c>
      <c r="H3" s="350"/>
      <c r="I3" s="315" t="s">
        <v>575</v>
      </c>
      <c r="J3" s="315" t="s">
        <v>654</v>
      </c>
      <c r="K3" s="315" t="s">
        <v>146</v>
      </c>
    </row>
    <row r="4" spans="1:19" x14ac:dyDescent="0.2">
      <c r="B4" s="314"/>
      <c r="C4" s="345"/>
      <c r="D4" s="346"/>
      <c r="E4" s="348"/>
      <c r="F4" s="349"/>
      <c r="G4" s="331"/>
      <c r="H4" s="332"/>
      <c r="I4" s="316"/>
      <c r="J4" s="316"/>
      <c r="K4" s="316"/>
    </row>
    <row r="5" spans="1:19" ht="20.25" customHeight="1" x14ac:dyDescent="0.2">
      <c r="B5" s="305"/>
      <c r="C5" s="103" t="s">
        <v>1</v>
      </c>
      <c r="D5" s="87" t="s">
        <v>2</v>
      </c>
      <c r="E5" s="87" t="s">
        <v>3</v>
      </c>
      <c r="F5" s="87" t="s">
        <v>2</v>
      </c>
      <c r="G5" s="87" t="s">
        <v>529</v>
      </c>
      <c r="H5" s="87" t="s">
        <v>2</v>
      </c>
      <c r="I5" s="305"/>
      <c r="J5" s="305"/>
      <c r="K5" s="305"/>
    </row>
    <row r="6" spans="1:19" x14ac:dyDescent="0.2">
      <c r="B6" s="341" t="s">
        <v>145</v>
      </c>
      <c r="C6" s="339"/>
      <c r="D6" s="339"/>
      <c r="E6" s="339"/>
      <c r="F6" s="339"/>
      <c r="G6" s="339"/>
      <c r="H6" s="339"/>
      <c r="I6" s="339"/>
      <c r="J6" s="339"/>
      <c r="K6" s="340"/>
    </row>
    <row r="7" spans="1:19" x14ac:dyDescent="0.2">
      <c r="B7" s="232">
        <v>0</v>
      </c>
      <c r="C7" s="121">
        <v>40228.489809999999</v>
      </c>
      <c r="D7" s="209">
        <f>C7/SUM($C$7:$C$18)</f>
        <v>0.18749382446862392</v>
      </c>
      <c r="E7" s="121">
        <v>0</v>
      </c>
      <c r="F7" s="211">
        <f>E7/SUM($E$7:$E$18)</f>
        <v>0</v>
      </c>
      <c r="G7" s="121">
        <v>0</v>
      </c>
      <c r="H7" s="211">
        <f>G7/SUM($G$7:$G$18)</f>
        <v>0</v>
      </c>
      <c r="I7" s="35">
        <f>E7*1000/C7</f>
        <v>0</v>
      </c>
      <c r="J7" s="35">
        <f>G7/C7</f>
        <v>0</v>
      </c>
      <c r="K7" s="35">
        <v>0</v>
      </c>
    </row>
    <row r="8" spans="1:19" x14ac:dyDescent="0.2">
      <c r="B8" s="232" t="s">
        <v>38</v>
      </c>
      <c r="C8" s="121">
        <v>10952.427030000001</v>
      </c>
      <c r="D8" s="209">
        <f t="shared" ref="D8:D18" si="0">C8/SUM($C$7:$C$18)</f>
        <v>5.1046222236206591E-2</v>
      </c>
      <c r="E8" s="121">
        <v>51249.08511</v>
      </c>
      <c r="F8" s="209">
        <f t="shared" ref="F8:F18" si="1">E8/SUM($E$7:$E$18)</f>
        <v>5.9269916359130249E-3</v>
      </c>
      <c r="G8" s="121">
        <v>667317.92039999994</v>
      </c>
      <c r="H8" s="209">
        <f t="shared" ref="H8:H18" si="2">G8/SUM($G$7:$G$18)</f>
        <v>1.3768216939827988E-3</v>
      </c>
      <c r="I8" s="35">
        <f t="shared" ref="I8:I17" si="3">E8*1000/C8</f>
        <v>4679.2446066632228</v>
      </c>
      <c r="J8" s="35">
        <f t="shared" ref="J8:J18" si="4">G8/C8</f>
        <v>60.928771182144082</v>
      </c>
      <c r="K8" s="212">
        <f>G8/(E8*1000)</f>
        <v>1.3021069917007928E-2</v>
      </c>
    </row>
    <row r="9" spans="1:19" x14ac:dyDescent="0.2">
      <c r="B9" s="232" t="s">
        <v>39</v>
      </c>
      <c r="C9" s="121">
        <v>12222.06971</v>
      </c>
      <c r="D9" s="209">
        <f t="shared" si="0"/>
        <v>5.6963674343061925E-2</v>
      </c>
      <c r="E9" s="121">
        <v>187131.69510000001</v>
      </c>
      <c r="F9" s="209">
        <f t="shared" si="1"/>
        <v>2.1641908129507413E-2</v>
      </c>
      <c r="G9" s="121">
        <v>3583340.523</v>
      </c>
      <c r="H9" s="209">
        <f t="shared" si="2"/>
        <v>7.3932091708803285E-3</v>
      </c>
      <c r="I9" s="35">
        <f t="shared" si="3"/>
        <v>15310.96610804718</v>
      </c>
      <c r="J9" s="35">
        <f t="shared" si="4"/>
        <v>293.18606488295018</v>
      </c>
      <c r="K9" s="212">
        <f t="shared" ref="K9:K18" si="5">G9/(E9*1000)</f>
        <v>1.9148763233748957E-2</v>
      </c>
    </row>
    <row r="10" spans="1:19" s="6" customFormat="1" x14ac:dyDescent="0.2">
      <c r="A10" s="86"/>
      <c r="B10" s="232" t="s">
        <v>40</v>
      </c>
      <c r="C10" s="121">
        <v>19803.498319999999</v>
      </c>
      <c r="D10" s="209">
        <f t="shared" si="0"/>
        <v>9.2298608657981049E-2</v>
      </c>
      <c r="E10" s="121">
        <v>492585.19429999997</v>
      </c>
      <c r="F10" s="209">
        <f t="shared" si="1"/>
        <v>5.6967813578022559E-2</v>
      </c>
      <c r="G10" s="121">
        <v>14174022.359999999</v>
      </c>
      <c r="H10" s="209">
        <f t="shared" si="2"/>
        <v>2.9244084235813171E-2</v>
      </c>
      <c r="I10" s="35">
        <f t="shared" si="3"/>
        <v>24873.645370147915</v>
      </c>
      <c r="J10" s="35">
        <f t="shared" si="4"/>
        <v>715.73325737530604</v>
      </c>
      <c r="K10" s="212">
        <f t="shared" si="5"/>
        <v>2.8774763277532804E-2</v>
      </c>
    </row>
    <row r="11" spans="1:19" s="6" customFormat="1" x14ac:dyDescent="0.2">
      <c r="A11" s="86"/>
      <c r="B11" s="232" t="s">
        <v>41</v>
      </c>
      <c r="C11" s="121">
        <v>59708.911979999997</v>
      </c>
      <c r="D11" s="209">
        <f t="shared" si="0"/>
        <v>0.27828666487022263</v>
      </c>
      <c r="E11" s="121">
        <v>2424205.3960000002</v>
      </c>
      <c r="F11" s="209">
        <f t="shared" si="1"/>
        <v>0.28036100693285571</v>
      </c>
      <c r="G11" s="121">
        <v>108103242.8</v>
      </c>
      <c r="H11" s="209">
        <f t="shared" si="2"/>
        <v>0.22304045092586999</v>
      </c>
      <c r="I11" s="35">
        <f t="shared" si="3"/>
        <v>40600.394741944183</v>
      </c>
      <c r="J11" s="35">
        <f t="shared" si="4"/>
        <v>1810.5043152722342</v>
      </c>
      <c r="K11" s="212">
        <f t="shared" si="5"/>
        <v>4.4593268779276322E-2</v>
      </c>
    </row>
    <row r="12" spans="1:19" s="6" customFormat="1" x14ac:dyDescent="0.2">
      <c r="A12" s="86"/>
      <c r="B12" s="232" t="s">
        <v>42</v>
      </c>
      <c r="C12" s="121">
        <v>48347.490189999997</v>
      </c>
      <c r="D12" s="209">
        <f t="shared" si="0"/>
        <v>0.2253342315855226</v>
      </c>
      <c r="E12" s="121">
        <v>2907395.46</v>
      </c>
      <c r="F12" s="209">
        <f t="shared" si="1"/>
        <v>0.33624226728584228</v>
      </c>
      <c r="G12" s="121">
        <v>168385596.80000001</v>
      </c>
      <c r="H12" s="209">
        <f t="shared" si="2"/>
        <v>0.34741602996292109</v>
      </c>
      <c r="I12" s="35">
        <f t="shared" si="3"/>
        <v>60135.395830771668</v>
      </c>
      <c r="J12" s="35">
        <f t="shared" si="4"/>
        <v>3482.8198141881671</v>
      </c>
      <c r="K12" s="212">
        <f t="shared" si="5"/>
        <v>5.791630313682887E-2</v>
      </c>
    </row>
    <row r="13" spans="1:19" s="6" customFormat="1" x14ac:dyDescent="0.2">
      <c r="A13" s="86"/>
      <c r="B13" s="232" t="s">
        <v>43</v>
      </c>
      <c r="C13" s="121">
        <v>14524.12969</v>
      </c>
      <c r="D13" s="209">
        <f t="shared" si="0"/>
        <v>6.7692936909092213E-2</v>
      </c>
      <c r="E13" s="121">
        <v>1235314.084</v>
      </c>
      <c r="F13" s="209">
        <f t="shared" si="1"/>
        <v>0.14286491608344654</v>
      </c>
      <c r="G13" s="121">
        <v>84426255.890000001</v>
      </c>
      <c r="H13" s="209">
        <f t="shared" si="2"/>
        <v>0.17418968844927646</v>
      </c>
      <c r="I13" s="35">
        <f t="shared" si="3"/>
        <v>85052.537423328395</v>
      </c>
      <c r="J13" s="35">
        <f t="shared" si="4"/>
        <v>5812.8271842772292</v>
      </c>
      <c r="K13" s="212">
        <f t="shared" si="5"/>
        <v>6.8343959632212861E-2</v>
      </c>
    </row>
    <row r="14" spans="1:19" x14ac:dyDescent="0.2">
      <c r="B14" s="232" t="s">
        <v>44</v>
      </c>
      <c r="C14" s="121">
        <v>6412.694195</v>
      </c>
      <c r="D14" s="209">
        <f t="shared" si="0"/>
        <v>2.9887787621334365E-2</v>
      </c>
      <c r="E14" s="121">
        <v>750151.82149999996</v>
      </c>
      <c r="F14" s="209">
        <f t="shared" si="1"/>
        <v>8.6755569629239374E-2</v>
      </c>
      <c r="G14" s="121">
        <v>57004623.990000002</v>
      </c>
      <c r="H14" s="209">
        <f t="shared" si="2"/>
        <v>0.11761291067939422</v>
      </c>
      <c r="I14" s="35">
        <f t="shared" si="3"/>
        <v>116979.19761788983</v>
      </c>
      <c r="J14" s="35">
        <f t="shared" si="4"/>
        <v>8889.3407757455061</v>
      </c>
      <c r="K14" s="212">
        <f t="shared" si="5"/>
        <v>7.5990782607197868E-2</v>
      </c>
    </row>
    <row r="15" spans="1:19" x14ac:dyDescent="0.2">
      <c r="B15" s="232" t="s">
        <v>45</v>
      </c>
      <c r="C15" s="121">
        <v>1746.4409820000001</v>
      </c>
      <c r="D15" s="209">
        <f t="shared" si="0"/>
        <v>8.1396766438525964E-3</v>
      </c>
      <c r="E15" s="121">
        <v>322697.73550000001</v>
      </c>
      <c r="F15" s="209">
        <f t="shared" si="1"/>
        <v>3.7320213134173032E-2</v>
      </c>
      <c r="G15" s="121">
        <v>26589113.850000001</v>
      </c>
      <c r="H15" s="209">
        <f t="shared" si="2"/>
        <v>5.4859112356093871E-2</v>
      </c>
      <c r="I15" s="35">
        <f t="shared" si="3"/>
        <v>184774.4864131916</v>
      </c>
      <c r="J15" s="35">
        <f t="shared" si="4"/>
        <v>15224.742275316121</v>
      </c>
      <c r="K15" s="212">
        <f t="shared" si="5"/>
        <v>8.2396344705678914E-2</v>
      </c>
    </row>
    <row r="16" spans="1:19" x14ac:dyDescent="0.2">
      <c r="B16" s="232" t="s">
        <v>46</v>
      </c>
      <c r="C16" s="121">
        <v>503.56144080000001</v>
      </c>
      <c r="D16" s="209">
        <f t="shared" si="0"/>
        <v>2.3469600980908054E-3</v>
      </c>
      <c r="E16" s="121">
        <v>162916.8841</v>
      </c>
      <c r="F16" s="209">
        <f t="shared" si="1"/>
        <v>1.8841448727077804E-2</v>
      </c>
      <c r="G16" s="121">
        <v>13533848.039999999</v>
      </c>
      <c r="H16" s="209">
        <f t="shared" si="2"/>
        <v>2.7923265680276168E-2</v>
      </c>
      <c r="I16" s="35">
        <f t="shared" si="3"/>
        <v>323529.30725032586</v>
      </c>
      <c r="J16" s="35">
        <f t="shared" si="4"/>
        <v>26876.259664558493</v>
      </c>
      <c r="K16" s="212">
        <f t="shared" si="5"/>
        <v>8.3072102162798478E-2</v>
      </c>
    </row>
    <row r="17" spans="1:11" x14ac:dyDescent="0.2">
      <c r="B17" s="232" t="s">
        <v>47</v>
      </c>
      <c r="C17" s="121">
        <v>82.197422160000002</v>
      </c>
      <c r="D17" s="209">
        <f t="shared" si="0"/>
        <v>3.8309936850797281E-4</v>
      </c>
      <c r="E17" s="121">
        <v>53162.705309999998</v>
      </c>
      <c r="F17" s="209">
        <f t="shared" si="1"/>
        <v>6.1483031167983895E-3</v>
      </c>
      <c r="G17" s="121">
        <v>4545871.0779999997</v>
      </c>
      <c r="H17" s="209">
        <f t="shared" si="2"/>
        <v>9.3791185983552253E-3</v>
      </c>
      <c r="I17" s="213">
        <f t="shared" si="3"/>
        <v>646768.52281957248</v>
      </c>
      <c r="J17" s="213">
        <f t="shared" si="4"/>
        <v>55304.302234093317</v>
      </c>
      <c r="K17" s="212">
        <f t="shared" si="5"/>
        <v>8.5508648431119508E-2</v>
      </c>
    </row>
    <row r="18" spans="1:11" x14ac:dyDescent="0.2">
      <c r="B18" s="237" t="s">
        <v>48</v>
      </c>
      <c r="C18" s="121">
        <v>27.101634910000001</v>
      </c>
      <c r="D18" s="209">
        <f t="shared" si="0"/>
        <v>1.2631319750325647E-4</v>
      </c>
      <c r="E18" s="121">
        <v>59918.036260000001</v>
      </c>
      <c r="F18" s="209">
        <f t="shared" si="1"/>
        <v>6.9295617471239052E-3</v>
      </c>
      <c r="G18" s="121">
        <v>3666753.5010000002</v>
      </c>
      <c r="H18" s="209">
        <f t="shared" si="2"/>
        <v>7.5653082471366208E-3</v>
      </c>
      <c r="I18" s="213">
        <f>E18*1000/C18</f>
        <v>2210864.2692213138</v>
      </c>
      <c r="J18" s="213">
        <f t="shared" si="4"/>
        <v>135296.39496571611</v>
      </c>
      <c r="K18" s="212">
        <f t="shared" si="5"/>
        <v>6.1196156113811871E-2</v>
      </c>
    </row>
    <row r="19" spans="1:11" s="6" customFormat="1" x14ac:dyDescent="0.2">
      <c r="A19" s="86"/>
      <c r="B19" s="241" t="s">
        <v>0</v>
      </c>
      <c r="C19" s="31">
        <f>SUM(C7:C18)</f>
        <v>214559.01240487001</v>
      </c>
      <c r="D19" s="29">
        <f>SUM(D7:D18)</f>
        <v>0.99999999999999989</v>
      </c>
      <c r="E19" s="31">
        <f t="shared" ref="E19:H19" si="6">SUM(E7:E18)</f>
        <v>8646728.0971799996</v>
      </c>
      <c r="F19" s="29">
        <f t="shared" si="6"/>
        <v>0.99999999999999989</v>
      </c>
      <c r="G19" s="31">
        <f t="shared" si="6"/>
        <v>484679986.75240004</v>
      </c>
      <c r="H19" s="29">
        <f t="shared" si="6"/>
        <v>0.99999999999999989</v>
      </c>
      <c r="I19" s="31">
        <f>E19/C19*1000</f>
        <v>40299.999521174803</v>
      </c>
      <c r="J19" s="31">
        <f>G19/C19</f>
        <v>2258.9588818474581</v>
      </c>
      <c r="K19" s="110">
        <f>G19/(E19*1000)</f>
        <v>5.6053570935169231E-2</v>
      </c>
    </row>
    <row r="20" spans="1:11" x14ac:dyDescent="0.2">
      <c r="B20" s="341" t="s">
        <v>147</v>
      </c>
      <c r="C20" s="294"/>
      <c r="D20" s="294"/>
      <c r="E20" s="294"/>
      <c r="F20" s="294"/>
      <c r="G20" s="294"/>
      <c r="H20" s="294"/>
      <c r="I20" s="294"/>
      <c r="J20" s="294"/>
      <c r="K20" s="295"/>
    </row>
    <row r="21" spans="1:11" x14ac:dyDescent="0.2">
      <c r="B21" s="232">
        <v>0</v>
      </c>
      <c r="C21" s="121">
        <v>7316.6129000000001</v>
      </c>
      <c r="D21" s="214">
        <f>C21/SUM($C$21:$C$32)</f>
        <v>4.506219527190268E-2</v>
      </c>
      <c r="E21" s="121">
        <v>0</v>
      </c>
      <c r="F21" s="215">
        <f>E21/SUM($E$21:$E$32)</f>
        <v>0</v>
      </c>
      <c r="G21" s="121">
        <v>0</v>
      </c>
      <c r="H21" s="215">
        <f>G21/SUM($G$21:$G$32)</f>
        <v>0</v>
      </c>
      <c r="I21" s="121">
        <f>(E21*1000)/C21</f>
        <v>0</v>
      </c>
      <c r="J21" s="121">
        <f>G21/C21</f>
        <v>0</v>
      </c>
      <c r="K21" s="215">
        <v>0</v>
      </c>
    </row>
    <row r="22" spans="1:11" x14ac:dyDescent="0.2">
      <c r="B22" s="232" t="s">
        <v>38</v>
      </c>
      <c r="C22" s="121">
        <v>3607.5446029999998</v>
      </c>
      <c r="D22" s="214">
        <f t="shared" ref="D22:D32" si="7">C22/SUM($C$21:$C$32)</f>
        <v>2.2218461134179263E-2</v>
      </c>
      <c r="E22" s="121">
        <v>16868.401809999999</v>
      </c>
      <c r="F22" s="214">
        <f t="shared" ref="F22:F32" si="8">E22/SUM($E$21:$E$32)</f>
        <v>1.2074310417296914E-3</v>
      </c>
      <c r="G22" s="121">
        <v>456491.69020000001</v>
      </c>
      <c r="H22" s="214">
        <f t="shared" ref="H22:H32" si="9">G22/SUM($G$21:$G$32)</f>
        <v>6.1922520985525573E-4</v>
      </c>
      <c r="I22" s="121">
        <f t="shared" ref="I22:I32" si="10">(E22*1000)/C22</f>
        <v>4675.8678453961165</v>
      </c>
      <c r="J22" s="121">
        <f t="shared" ref="J22:J32" si="11">G22/C22</f>
        <v>126.53805855106708</v>
      </c>
      <c r="K22" s="216">
        <f t="shared" ref="K22:K32" si="12">G22/(E22*1000)</f>
        <v>2.7061940742328098E-2</v>
      </c>
    </row>
    <row r="23" spans="1:11" x14ac:dyDescent="0.2">
      <c r="B23" s="232" t="s">
        <v>39</v>
      </c>
      <c r="C23" s="121">
        <v>3273.2015419999998</v>
      </c>
      <c r="D23" s="214">
        <f t="shared" si="7"/>
        <v>2.0159279856106226E-2</v>
      </c>
      <c r="E23" s="121">
        <v>48924.65249</v>
      </c>
      <c r="F23" s="214">
        <f t="shared" si="8"/>
        <v>3.5020000583128063E-3</v>
      </c>
      <c r="G23" s="121">
        <v>1031320.65</v>
      </c>
      <c r="H23" s="214">
        <f t="shared" si="9"/>
        <v>1.3989734306981887E-3</v>
      </c>
      <c r="I23" s="121">
        <f t="shared" si="10"/>
        <v>14947.033313477525</v>
      </c>
      <c r="J23" s="121">
        <f t="shared" si="11"/>
        <v>315.08009414227513</v>
      </c>
      <c r="K23" s="216">
        <f t="shared" si="12"/>
        <v>2.1079774663924241E-2</v>
      </c>
    </row>
    <row r="24" spans="1:11" x14ac:dyDescent="0.2">
      <c r="B24" s="232" t="s">
        <v>40</v>
      </c>
      <c r="C24" s="121">
        <v>4764.6536839999999</v>
      </c>
      <c r="D24" s="214">
        <f t="shared" si="7"/>
        <v>2.9344965716499565E-2</v>
      </c>
      <c r="E24" s="121">
        <v>119616.7898</v>
      </c>
      <c r="F24" s="214">
        <f t="shared" si="8"/>
        <v>8.5621048599254079E-3</v>
      </c>
      <c r="G24" s="121">
        <v>2000624.2930000001</v>
      </c>
      <c r="H24" s="214">
        <f t="shared" si="9"/>
        <v>2.7138215750032234E-3</v>
      </c>
      <c r="I24" s="121">
        <f t="shared" si="10"/>
        <v>25105.033383996099</v>
      </c>
      <c r="J24" s="121">
        <f t="shared" si="11"/>
        <v>419.88871084549532</v>
      </c>
      <c r="K24" s="216">
        <f t="shared" si="12"/>
        <v>1.672527992387236E-2</v>
      </c>
    </row>
    <row r="25" spans="1:11" x14ac:dyDescent="0.2">
      <c r="B25" s="232" t="s">
        <v>41</v>
      </c>
      <c r="C25" s="121">
        <v>22816.571950000001</v>
      </c>
      <c r="D25" s="214">
        <f t="shared" si="7"/>
        <v>0.1405246983404462</v>
      </c>
      <c r="E25" s="121">
        <v>945507.32339999999</v>
      </c>
      <c r="F25" s="214">
        <f t="shared" si="8"/>
        <v>6.7678900782356596E-2</v>
      </c>
      <c r="G25" s="121">
        <v>22738832.420000002</v>
      </c>
      <c r="H25" s="214">
        <f t="shared" si="9"/>
        <v>3.0844938866179589E-2</v>
      </c>
      <c r="I25" s="121">
        <f t="shared" si="10"/>
        <v>41439.499565139537</v>
      </c>
      <c r="J25" s="121">
        <f t="shared" si="11"/>
        <v>996.59284794532869</v>
      </c>
      <c r="K25" s="216">
        <f t="shared" si="12"/>
        <v>2.4049345634079521E-2</v>
      </c>
    </row>
    <row r="26" spans="1:11" x14ac:dyDescent="0.2">
      <c r="B26" s="232" t="s">
        <v>42</v>
      </c>
      <c r="C26" s="121">
        <v>41510.282059999998</v>
      </c>
      <c r="D26" s="214">
        <f t="shared" si="7"/>
        <v>0.25565715468963496</v>
      </c>
      <c r="E26" s="121">
        <v>2603942.0759999999</v>
      </c>
      <c r="F26" s="214">
        <f t="shared" si="8"/>
        <v>0.18638875981508621</v>
      </c>
      <c r="G26" s="121">
        <v>93560589.120000005</v>
      </c>
      <c r="H26" s="214">
        <f t="shared" si="9"/>
        <v>0.12691375697689175</v>
      </c>
      <c r="I26" s="121">
        <f t="shared" si="10"/>
        <v>62730.050165310779</v>
      </c>
      <c r="J26" s="121">
        <f t="shared" si="11"/>
        <v>2253.9135962691171</v>
      </c>
      <c r="K26" s="216">
        <f t="shared" si="12"/>
        <v>3.5930364957933884E-2</v>
      </c>
    </row>
    <row r="27" spans="1:11" x14ac:dyDescent="0.2">
      <c r="B27" s="232" t="s">
        <v>43</v>
      </c>
      <c r="C27" s="121">
        <v>34867.731610000003</v>
      </c>
      <c r="D27" s="214">
        <f t="shared" si="7"/>
        <v>0.21474643417285527</v>
      </c>
      <c r="E27" s="121">
        <v>3015143.4619999998</v>
      </c>
      <c r="F27" s="214">
        <f t="shared" si="8"/>
        <v>0.21582233173559484</v>
      </c>
      <c r="G27" s="121">
        <v>140639200.5</v>
      </c>
      <c r="H27" s="214">
        <f t="shared" si="9"/>
        <v>0.19077529846235058</v>
      </c>
      <c r="I27" s="121">
        <f t="shared" si="10"/>
        <v>86473.748729190702</v>
      </c>
      <c r="J27" s="121">
        <f t="shared" si="11"/>
        <v>4033.5058808260683</v>
      </c>
      <c r="K27" s="216">
        <f t="shared" si="12"/>
        <v>4.6644281531702456E-2</v>
      </c>
    </row>
    <row r="28" spans="1:11" x14ac:dyDescent="0.2">
      <c r="B28" s="232" t="s">
        <v>44</v>
      </c>
      <c r="C28" s="121">
        <v>29406.46717</v>
      </c>
      <c r="D28" s="214">
        <f t="shared" si="7"/>
        <v>0.18111112122268153</v>
      </c>
      <c r="E28" s="121">
        <v>3514870.8489999999</v>
      </c>
      <c r="F28" s="214">
        <f t="shared" si="8"/>
        <v>0.2515925467365539</v>
      </c>
      <c r="G28" s="121">
        <v>203013784.90000001</v>
      </c>
      <c r="H28" s="214">
        <f t="shared" si="9"/>
        <v>0.27538563408051331</v>
      </c>
      <c r="I28" s="121">
        <f t="shared" si="10"/>
        <v>119527.13764221953</v>
      </c>
      <c r="J28" s="121">
        <f t="shared" si="11"/>
        <v>6903.712157137712</v>
      </c>
      <c r="K28" s="216">
        <f t="shared" si="12"/>
        <v>5.775853327804592E-2</v>
      </c>
    </row>
    <row r="29" spans="1:11" x14ac:dyDescent="0.2">
      <c r="B29" s="232" t="s">
        <v>45</v>
      </c>
      <c r="C29" s="121">
        <v>11024.402700000001</v>
      </c>
      <c r="D29" s="214">
        <f t="shared" si="7"/>
        <v>6.7898055290514431E-2</v>
      </c>
      <c r="E29" s="121">
        <v>2020151.0360000001</v>
      </c>
      <c r="F29" s="214">
        <f t="shared" si="8"/>
        <v>0.14460131418038563</v>
      </c>
      <c r="G29" s="121">
        <v>140429415.90000001</v>
      </c>
      <c r="H29" s="214">
        <f t="shared" si="9"/>
        <v>0.1904907283031381</v>
      </c>
      <c r="I29" s="121">
        <f t="shared" si="10"/>
        <v>183243.58162279395</v>
      </c>
      <c r="J29" s="121">
        <f t="shared" si="11"/>
        <v>12738.05209419645</v>
      </c>
      <c r="K29" s="216">
        <f t="shared" si="12"/>
        <v>6.9514315215785674E-2</v>
      </c>
    </row>
    <row r="30" spans="1:11" x14ac:dyDescent="0.2">
      <c r="B30" s="232" t="s">
        <v>46</v>
      </c>
      <c r="C30" s="121">
        <v>3044.4184759999998</v>
      </c>
      <c r="D30" s="214">
        <f t="shared" si="7"/>
        <v>1.8750230705098576E-2</v>
      </c>
      <c r="E30" s="121">
        <v>994547.97690000001</v>
      </c>
      <c r="F30" s="214">
        <f t="shared" si="8"/>
        <v>7.1189204129974676E-2</v>
      </c>
      <c r="G30" s="121">
        <v>78133879.969999999</v>
      </c>
      <c r="H30" s="214">
        <f t="shared" si="9"/>
        <v>0.10598762093573069</v>
      </c>
      <c r="I30" s="121">
        <f t="shared" si="10"/>
        <v>326679.12927880947</v>
      </c>
      <c r="J30" s="121">
        <f t="shared" si="11"/>
        <v>25664.632042523448</v>
      </c>
      <c r="K30" s="216">
        <f t="shared" si="12"/>
        <v>7.8562202915079898E-2</v>
      </c>
    </row>
    <row r="31" spans="1:11" x14ac:dyDescent="0.2">
      <c r="B31" s="232" t="s">
        <v>47</v>
      </c>
      <c r="C31" s="121">
        <v>577.40675399999998</v>
      </c>
      <c r="D31" s="214">
        <f t="shared" si="7"/>
        <v>3.556183203304834E-3</v>
      </c>
      <c r="E31" s="121">
        <v>374838.46629999997</v>
      </c>
      <c r="F31" s="214">
        <f t="shared" si="8"/>
        <v>2.6830733874068705E-2</v>
      </c>
      <c r="G31" s="121">
        <v>30613948.420000002</v>
      </c>
      <c r="H31" s="214">
        <f t="shared" si="9"/>
        <v>4.1527434215871462E-2</v>
      </c>
      <c r="I31" s="121">
        <f t="shared" si="10"/>
        <v>649175.75643737614</v>
      </c>
      <c r="J31" s="121">
        <f t="shared" si="11"/>
        <v>53019.726922002723</v>
      </c>
      <c r="K31" s="216">
        <f t="shared" si="12"/>
        <v>8.1672376696521568E-2</v>
      </c>
    </row>
    <row r="32" spans="1:11" x14ac:dyDescent="0.2">
      <c r="B32" s="237" t="s">
        <v>48</v>
      </c>
      <c r="C32" s="121">
        <v>157.6941301</v>
      </c>
      <c r="D32" s="214">
        <f t="shared" si="7"/>
        <v>9.7122039677663224E-4</v>
      </c>
      <c r="E32" s="121">
        <v>316077.73710000003</v>
      </c>
      <c r="F32" s="214">
        <f t="shared" si="8"/>
        <v>2.2624672786011647E-2</v>
      </c>
      <c r="G32" s="121">
        <v>24580080</v>
      </c>
      <c r="H32" s="214">
        <f t="shared" si="9"/>
        <v>3.3342567943767956E-2</v>
      </c>
      <c r="I32" s="121">
        <f t="shared" si="10"/>
        <v>2004372.2420077578</v>
      </c>
      <c r="J32" s="121">
        <f t="shared" si="11"/>
        <v>155871.87667932099</v>
      </c>
      <c r="K32" s="216">
        <f t="shared" si="12"/>
        <v>7.7765932601015192E-2</v>
      </c>
    </row>
    <row r="33" spans="2:11" x14ac:dyDescent="0.2">
      <c r="B33" s="241" t="s">
        <v>0</v>
      </c>
      <c r="C33" s="31">
        <f>SUM(C21:C32)</f>
        <v>162366.98757909998</v>
      </c>
      <c r="D33" s="29">
        <f>SUM(D21:D32)</f>
        <v>1.0000000000000002</v>
      </c>
      <c r="E33" s="31">
        <f t="shared" ref="E33" si="13">SUM(E21:E32)</f>
        <v>13970488.770799998</v>
      </c>
      <c r="F33" s="29">
        <f t="shared" ref="F33" si="14">SUM(F21:F32)</f>
        <v>1</v>
      </c>
      <c r="G33" s="31">
        <f t="shared" ref="G33" si="15">SUM(G21:G32)</f>
        <v>737198167.86319995</v>
      </c>
      <c r="H33" s="29">
        <f t="shared" ref="H33" si="16">SUM(H21:H32)</f>
        <v>1</v>
      </c>
      <c r="I33" s="31">
        <f>E33/C33*1000</f>
        <v>86042.66778056731</v>
      </c>
      <c r="J33" s="31">
        <f>G33/C33</f>
        <v>4540.3205347026633</v>
      </c>
      <c r="K33" s="110">
        <f>G33/(E33*1000)</f>
        <v>5.2768244544459518E-2</v>
      </c>
    </row>
    <row r="34" spans="2:11" x14ac:dyDescent="0.2">
      <c r="B34" s="341" t="s">
        <v>434</v>
      </c>
      <c r="C34" s="294"/>
      <c r="D34" s="294"/>
      <c r="E34" s="294"/>
      <c r="F34" s="294"/>
      <c r="G34" s="294"/>
      <c r="H34" s="294"/>
      <c r="I34" s="294"/>
      <c r="J34" s="294"/>
      <c r="K34" s="295"/>
    </row>
    <row r="35" spans="2:11" x14ac:dyDescent="0.2">
      <c r="B35" s="25">
        <v>0</v>
      </c>
      <c r="C35" s="121">
        <v>47545.102709999999</v>
      </c>
      <c r="D35" s="214">
        <f>C35/SUM($C$35:$C$46)</f>
        <v>0.1261390901934058</v>
      </c>
      <c r="E35" s="121">
        <v>0</v>
      </c>
      <c r="F35" s="215">
        <v>0</v>
      </c>
      <c r="G35" s="121">
        <v>0</v>
      </c>
      <c r="H35" s="215">
        <f>G35/SUM($G$35:$G$46)</f>
        <v>0</v>
      </c>
      <c r="I35" s="121">
        <f>(E35*1000)/C35</f>
        <v>0</v>
      </c>
      <c r="J35" s="121">
        <f>G35/C35</f>
        <v>0</v>
      </c>
      <c r="K35" s="215">
        <v>0</v>
      </c>
    </row>
    <row r="36" spans="2:11" x14ac:dyDescent="0.2">
      <c r="B36" s="25" t="s">
        <v>38</v>
      </c>
      <c r="C36" s="121">
        <v>14559.97163</v>
      </c>
      <c r="D36" s="214">
        <f t="shared" ref="D36:D46" si="17">C36/SUM($C$35:$C$46)</f>
        <v>3.8628196595812965E-2</v>
      </c>
      <c r="E36" s="121">
        <v>68117.486919999996</v>
      </c>
      <c r="F36" s="214">
        <f t="shared" ref="F36:F46" si="18">E36/SUM($E$35:$E$46)</f>
        <v>3.0117537149423165E-3</v>
      </c>
      <c r="G36" s="121">
        <v>1123809.611</v>
      </c>
      <c r="H36" s="214">
        <f t="shared" ref="H36:H46" si="19">G36/SUM($G$35:$G$46)</f>
        <v>9.197395065447786E-4</v>
      </c>
      <c r="I36" s="121">
        <f t="shared" ref="I36:I46" si="20">(E36*1000)/C36</f>
        <v>4678.4079427495426</v>
      </c>
      <c r="J36" s="121">
        <f t="shared" ref="J36:J46" si="21">G36/C36</f>
        <v>77.184876424103308</v>
      </c>
      <c r="K36" s="216">
        <f t="shared" ref="K36:K46" si="22">G36/(E36*1000)</f>
        <v>1.6498107340921848E-2</v>
      </c>
    </row>
    <row r="37" spans="2:11" x14ac:dyDescent="0.2">
      <c r="B37" s="25" t="s">
        <v>39</v>
      </c>
      <c r="C37" s="121">
        <v>15495.27125</v>
      </c>
      <c r="D37" s="214">
        <f t="shared" si="17"/>
        <v>4.1109584507511052E-2</v>
      </c>
      <c r="E37" s="121">
        <v>236056.34760000001</v>
      </c>
      <c r="F37" s="214">
        <f t="shared" si="18"/>
        <v>1.0437020124582348E-2</v>
      </c>
      <c r="G37" s="121">
        <v>4614661.1720000003</v>
      </c>
      <c r="H37" s="214">
        <f t="shared" si="19"/>
        <v>3.7766950448394321E-3</v>
      </c>
      <c r="I37" s="121">
        <f t="shared" si="20"/>
        <v>15234.089406469731</v>
      </c>
      <c r="J37" s="121">
        <f t="shared" si="21"/>
        <v>297.81093196416293</v>
      </c>
      <c r="K37" s="216">
        <f t="shared" si="22"/>
        <v>1.9548981499195237E-2</v>
      </c>
    </row>
    <row r="38" spans="2:11" x14ac:dyDescent="0.2">
      <c r="B38" s="25" t="s">
        <v>40</v>
      </c>
      <c r="C38" s="121">
        <v>24568.152010000002</v>
      </c>
      <c r="D38" s="214">
        <f t="shared" si="17"/>
        <v>6.5180305975506725E-2</v>
      </c>
      <c r="E38" s="121">
        <v>612201.9841</v>
      </c>
      <c r="F38" s="214">
        <f t="shared" si="18"/>
        <v>2.7067962769584689E-2</v>
      </c>
      <c r="G38" s="121">
        <v>16174646.65</v>
      </c>
      <c r="H38" s="214">
        <f t="shared" si="19"/>
        <v>1.3237528299094744E-2</v>
      </c>
      <c r="I38" s="121">
        <f t="shared" si="20"/>
        <v>24918.519872834342</v>
      </c>
      <c r="J38" s="121">
        <f t="shared" si="21"/>
        <v>658.3582942427422</v>
      </c>
      <c r="K38" s="216">
        <f t="shared" si="22"/>
        <v>2.6420441406733428E-2</v>
      </c>
    </row>
    <row r="39" spans="2:11" x14ac:dyDescent="0.2">
      <c r="B39" s="25" t="s">
        <v>41</v>
      </c>
      <c r="C39" s="121">
        <v>82525.483940000006</v>
      </c>
      <c r="D39" s="214">
        <f t="shared" si="17"/>
        <v>0.21894346354567212</v>
      </c>
      <c r="E39" s="121">
        <v>3369712.719</v>
      </c>
      <c r="F39" s="214">
        <f t="shared" si="18"/>
        <v>0.14898883177613012</v>
      </c>
      <c r="G39" s="121">
        <v>130842075.3</v>
      </c>
      <c r="H39" s="214">
        <f t="shared" si="19"/>
        <v>0.10708275191260734</v>
      </c>
      <c r="I39" s="121">
        <f t="shared" si="20"/>
        <v>40832.38968280323</v>
      </c>
      <c r="J39" s="121">
        <f t="shared" si="21"/>
        <v>1585.4748018821492</v>
      </c>
      <c r="K39" s="216">
        <f t="shared" si="22"/>
        <v>3.8828851659149406E-2</v>
      </c>
    </row>
    <row r="40" spans="2:11" x14ac:dyDescent="0.2">
      <c r="B40" s="25" t="s">
        <v>42</v>
      </c>
      <c r="C40" s="121">
        <v>89857.772249999995</v>
      </c>
      <c r="D40" s="214">
        <f t="shared" si="17"/>
        <v>0.23839632248890488</v>
      </c>
      <c r="E40" s="121">
        <v>5511337.5360000003</v>
      </c>
      <c r="F40" s="214">
        <f t="shared" si="18"/>
        <v>0.24367885617746501</v>
      </c>
      <c r="G40" s="121">
        <v>261946185.90000001</v>
      </c>
      <c r="H40" s="214">
        <f t="shared" si="19"/>
        <v>0.21437995671399615</v>
      </c>
      <c r="I40" s="121">
        <f t="shared" si="20"/>
        <v>61334.010381055276</v>
      </c>
      <c r="J40" s="121">
        <f t="shared" si="21"/>
        <v>2915.1199650400863</v>
      </c>
      <c r="K40" s="216">
        <f t="shared" si="22"/>
        <v>4.7528605204992476E-2</v>
      </c>
    </row>
    <row r="41" spans="2:11" x14ac:dyDescent="0.2">
      <c r="B41" s="25" t="s">
        <v>43</v>
      </c>
      <c r="C41" s="121">
        <v>49391.861299999997</v>
      </c>
      <c r="D41" s="214">
        <f t="shared" si="17"/>
        <v>0.13103861580323187</v>
      </c>
      <c r="E41" s="121">
        <v>4250457.5449999999</v>
      </c>
      <c r="F41" s="214">
        <f t="shared" si="18"/>
        <v>0.18793017593841596</v>
      </c>
      <c r="G41" s="121">
        <v>225065456.40000001</v>
      </c>
      <c r="H41" s="214">
        <f t="shared" si="19"/>
        <v>0.18419631740416872</v>
      </c>
      <c r="I41" s="121">
        <f t="shared" si="20"/>
        <v>86055.828493347348</v>
      </c>
      <c r="J41" s="121">
        <f t="shared" si="21"/>
        <v>4556.7316249327096</v>
      </c>
      <c r="K41" s="216">
        <f t="shared" si="22"/>
        <v>5.2950877409598973E-2</v>
      </c>
    </row>
    <row r="42" spans="2:11" x14ac:dyDescent="0.2">
      <c r="B42" s="25" t="s">
        <v>44</v>
      </c>
      <c r="C42" s="121">
        <v>35819.161370000002</v>
      </c>
      <c r="D42" s="214">
        <f t="shared" si="17"/>
        <v>9.5029691160016999E-2</v>
      </c>
      <c r="E42" s="121">
        <v>4265022.6710000001</v>
      </c>
      <c r="F42" s="214">
        <f t="shared" si="18"/>
        <v>0.18857415994784693</v>
      </c>
      <c r="G42" s="121">
        <v>260018408.90000001</v>
      </c>
      <c r="H42" s="214">
        <f t="shared" si="19"/>
        <v>0.21280224048043353</v>
      </c>
      <c r="I42" s="121">
        <f t="shared" si="20"/>
        <v>119070.98066712776</v>
      </c>
      <c r="J42" s="121">
        <f t="shared" si="21"/>
        <v>7259.1986790002284</v>
      </c>
      <c r="K42" s="216">
        <f t="shared" si="22"/>
        <v>6.0965305218186494E-2</v>
      </c>
    </row>
    <row r="43" spans="2:11" x14ac:dyDescent="0.2">
      <c r="B43" s="25" t="s">
        <v>45</v>
      </c>
      <c r="C43" s="121">
        <v>12770.84368</v>
      </c>
      <c r="D43" s="214">
        <f t="shared" si="17"/>
        <v>3.3881567416586753E-2</v>
      </c>
      <c r="E43" s="121">
        <v>2342848.7710000002</v>
      </c>
      <c r="F43" s="214">
        <f t="shared" si="18"/>
        <v>0.10358696141996912</v>
      </c>
      <c r="G43" s="121">
        <v>167018529.69999999</v>
      </c>
      <c r="H43" s="214">
        <f t="shared" si="19"/>
        <v>0.13669000388190525</v>
      </c>
      <c r="I43" s="121">
        <f t="shared" si="20"/>
        <v>183452.93621196371</v>
      </c>
      <c r="J43" s="121">
        <f t="shared" si="21"/>
        <v>13078.112447775258</v>
      </c>
      <c r="K43" s="216">
        <f t="shared" si="22"/>
        <v>7.1288651562734603E-2</v>
      </c>
    </row>
    <row r="44" spans="2:11" x14ac:dyDescent="0.2">
      <c r="B44" s="25" t="s">
        <v>46</v>
      </c>
      <c r="C44" s="121">
        <v>3547.9799170000001</v>
      </c>
      <c r="D44" s="214">
        <f t="shared" si="17"/>
        <v>9.4129349448376747E-3</v>
      </c>
      <c r="E44" s="121">
        <v>1157464.861</v>
      </c>
      <c r="F44" s="214">
        <f t="shared" si="18"/>
        <v>5.1176272828826523E-2</v>
      </c>
      <c r="G44" s="121">
        <v>91667728</v>
      </c>
      <c r="H44" s="214">
        <f t="shared" si="19"/>
        <v>7.5021987791845809E-2</v>
      </c>
      <c r="I44" s="121">
        <f t="shared" si="20"/>
        <v>326232.07799290371</v>
      </c>
      <c r="J44" s="121">
        <f t="shared" si="21"/>
        <v>25836.597203038789</v>
      </c>
      <c r="K44" s="216">
        <f t="shared" si="22"/>
        <v>7.919698566123469E-2</v>
      </c>
    </row>
    <row r="45" spans="2:11" x14ac:dyDescent="0.2">
      <c r="B45" s="25" t="s">
        <v>47</v>
      </c>
      <c r="C45" s="121">
        <v>659.60417610000002</v>
      </c>
      <c r="D45" s="214">
        <f t="shared" si="17"/>
        <v>1.7499566920385569E-3</v>
      </c>
      <c r="E45" s="121">
        <v>428001.17170000001</v>
      </c>
      <c r="F45" s="214">
        <f t="shared" si="18"/>
        <v>1.8923688720064415E-2</v>
      </c>
      <c r="G45" s="121">
        <v>35159819.5</v>
      </c>
      <c r="H45" s="214">
        <f t="shared" si="19"/>
        <v>2.8775225554761235E-2</v>
      </c>
      <c r="I45" s="121">
        <f t="shared" si="20"/>
        <v>648875.77612169692</v>
      </c>
      <c r="J45" s="121">
        <f t="shared" si="21"/>
        <v>53304.422218620937</v>
      </c>
      <c r="K45" s="216">
        <f t="shared" si="22"/>
        <v>8.2148886089135911E-2</v>
      </c>
    </row>
    <row r="46" spans="2:11" x14ac:dyDescent="0.2">
      <c r="B46" s="95" t="s">
        <v>48</v>
      </c>
      <c r="C46" s="121">
        <v>184.79576499999999</v>
      </c>
      <c r="D46" s="214">
        <f t="shared" si="17"/>
        <v>4.9027067647477627E-4</v>
      </c>
      <c r="E46" s="121">
        <v>375995.77340000001</v>
      </c>
      <c r="F46" s="214">
        <f t="shared" si="18"/>
        <v>1.6624316582172283E-2</v>
      </c>
      <c r="G46" s="121">
        <v>28246833.5</v>
      </c>
      <c r="H46" s="214">
        <f t="shared" si="19"/>
        <v>2.3117553409803079E-2</v>
      </c>
      <c r="I46" s="121">
        <f t="shared" si="20"/>
        <v>2034655.7909484559</v>
      </c>
      <c r="J46" s="121">
        <f t="shared" si="21"/>
        <v>152854.33353951591</v>
      </c>
      <c r="K46" s="216">
        <f t="shared" si="22"/>
        <v>7.5125401662294325E-2</v>
      </c>
    </row>
    <row r="47" spans="2:11" x14ac:dyDescent="0.2">
      <c r="B47" s="109" t="s">
        <v>0</v>
      </c>
      <c r="C47" s="31">
        <f>SUM(C35:C46)</f>
        <v>376925.99999809993</v>
      </c>
      <c r="D47" s="29">
        <f>SUM(D35:D46)</f>
        <v>1.0000000000000002</v>
      </c>
      <c r="E47" s="31">
        <f t="shared" ref="E47" si="23">SUM(E35:E46)</f>
        <v>22617216.866720006</v>
      </c>
      <c r="F47" s="29">
        <f t="shared" ref="F47" si="24">SUM(F35:F46)</f>
        <v>0.99999999999999978</v>
      </c>
      <c r="G47" s="31">
        <f t="shared" ref="G47" si="25">SUM(G35:G46)</f>
        <v>1221878154.6329999</v>
      </c>
      <c r="H47" s="29">
        <f t="shared" ref="H47" si="26">SUM(H35:H46)</f>
        <v>0.99999999999999989</v>
      </c>
      <c r="I47" s="31">
        <f>E47/C47*1000</f>
        <v>60004.395735062106</v>
      </c>
      <c r="J47" s="31">
        <f>G47/C47</f>
        <v>3241.6924134688488</v>
      </c>
      <c r="K47" s="110">
        <f>G47/(E47*1000)</f>
        <v>5.4024248953058705E-2</v>
      </c>
    </row>
    <row r="48" spans="2:11" x14ac:dyDescent="0.2">
      <c r="B48" s="118"/>
      <c r="C48" s="118"/>
      <c r="D48" s="118"/>
      <c r="E48" s="118"/>
      <c r="F48" s="118"/>
      <c r="G48" s="118"/>
      <c r="H48" s="118"/>
      <c r="I48" s="118"/>
      <c r="J48" s="118"/>
      <c r="K48" s="118"/>
    </row>
    <row r="49" spans="1:14" s="6" customFormat="1" x14ac:dyDescent="0.2">
      <c r="A49" s="114"/>
      <c r="B49" s="300" t="s">
        <v>425</v>
      </c>
      <c r="C49" s="292"/>
      <c r="D49" s="292"/>
      <c r="E49" s="292"/>
      <c r="F49" s="292"/>
      <c r="G49" s="292"/>
      <c r="H49" s="292"/>
      <c r="I49" s="292"/>
      <c r="J49" s="292"/>
      <c r="K49" s="292"/>
      <c r="L49" s="292"/>
      <c r="M49" s="292"/>
      <c r="N49" s="292"/>
    </row>
    <row r="50" spans="1:14" ht="48.75" customHeight="1" x14ac:dyDescent="0.2">
      <c r="B50" s="342" t="s">
        <v>653</v>
      </c>
      <c r="C50" s="343"/>
      <c r="D50" s="343"/>
      <c r="E50" s="343"/>
      <c r="F50" s="343"/>
      <c r="G50" s="343"/>
      <c r="H50" s="343"/>
      <c r="I50" s="343"/>
      <c r="J50" s="343"/>
      <c r="K50" s="343"/>
    </row>
  </sheetData>
  <mergeCells count="12">
    <mergeCell ref="B6:K6"/>
    <mergeCell ref="B20:K20"/>
    <mergeCell ref="B34:K34"/>
    <mergeCell ref="B50:K50"/>
    <mergeCell ref="B3:B5"/>
    <mergeCell ref="C3:D4"/>
    <mergeCell ref="E3:F4"/>
    <mergeCell ref="G3:H4"/>
    <mergeCell ref="I3:I5"/>
    <mergeCell ref="J3:J5"/>
    <mergeCell ref="K3:K5"/>
    <mergeCell ref="B49:N49"/>
  </mergeCells>
  <pageMargins left="0.7" right="0.7" top="0.78740157499999996" bottom="0.78740157499999996" header="0.3" footer="0.3"/>
  <pageSetup paperSize="9" scale="7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S19"/>
  <sheetViews>
    <sheetView view="pageBreakPreview" zoomScaleNormal="100" zoomScaleSheetLayoutView="100" workbookViewId="0">
      <selection activeCell="B1" sqref="B1"/>
    </sheetView>
  </sheetViews>
  <sheetFormatPr baseColWidth="10" defaultRowHeight="12.75" x14ac:dyDescent="0.2"/>
  <cols>
    <col min="1" max="1" width="2" style="117" customWidth="1"/>
    <col min="2" max="2" width="5.7109375" style="118" customWidth="1"/>
    <col min="3" max="3" width="17" style="118" bestFit="1" customWidth="1"/>
    <col min="4" max="4" width="18.28515625" style="118" bestFit="1" customWidth="1"/>
    <col min="5" max="5" width="12.140625" style="118" bestFit="1" customWidth="1"/>
    <col min="6" max="7" width="11.42578125" style="118"/>
    <col min="8" max="8" width="16.140625" style="118" customWidth="1"/>
    <col min="9" max="13" width="11.42578125" style="118"/>
    <col min="14" max="14" width="13.28515625" style="118" customWidth="1"/>
    <col min="15" max="16384" width="11.42578125" style="118"/>
  </cols>
  <sheetData>
    <row r="1" spans="2:19" ht="15.75" x14ac:dyDescent="0.2">
      <c r="B1" s="186" t="str">
        <f>Inhaltsverzeichnis!B61&amp;" "&amp;Inhaltsverzeichnis!C61&amp;" "&amp;Inhaltsverzeichnis!E61</f>
        <v>Tabelle 26a: Entwicklung der Vermögens- und Einkommenssteuer von Pflichtigen mit Wohnsitz im Kanton Aargau, 2001 – 2014</v>
      </c>
      <c r="C1" s="187"/>
      <c r="D1" s="187"/>
      <c r="E1" s="187"/>
      <c r="F1" s="187"/>
      <c r="G1" s="187"/>
      <c r="H1" s="187"/>
      <c r="I1" s="187"/>
      <c r="J1" s="187"/>
      <c r="K1" s="187"/>
      <c r="L1" s="187"/>
      <c r="M1" s="187"/>
      <c r="N1" s="187"/>
      <c r="O1" s="187"/>
      <c r="P1" s="187"/>
      <c r="Q1" s="187"/>
      <c r="R1" s="187"/>
      <c r="S1" s="187"/>
    </row>
    <row r="3" spans="2:19" x14ac:dyDescent="0.2">
      <c r="B3" s="169" t="s">
        <v>4</v>
      </c>
      <c r="C3" s="169" t="s">
        <v>144</v>
      </c>
      <c r="D3" s="169" t="s">
        <v>437</v>
      </c>
      <c r="E3" s="169" t="s">
        <v>438</v>
      </c>
    </row>
    <row r="4" spans="2:19" x14ac:dyDescent="0.2">
      <c r="B4" s="120"/>
      <c r="C4" s="351" t="s">
        <v>121</v>
      </c>
      <c r="D4" s="352"/>
      <c r="E4" s="353"/>
    </row>
    <row r="5" spans="2:19" x14ac:dyDescent="0.2">
      <c r="B5" s="139">
        <v>2001</v>
      </c>
      <c r="C5" s="121">
        <v>931.95146932514001</v>
      </c>
      <c r="D5" s="121">
        <v>110.92636164037542</v>
      </c>
      <c r="E5" s="121">
        <v>1042.8778309655154</v>
      </c>
    </row>
    <row r="6" spans="2:19" x14ac:dyDescent="0.2">
      <c r="B6" s="139">
        <v>2002</v>
      </c>
      <c r="C6" s="121">
        <v>886.800793282168</v>
      </c>
      <c r="D6" s="121">
        <v>108.49668830865483</v>
      </c>
      <c r="E6" s="121">
        <v>995.29748159082283</v>
      </c>
    </row>
    <row r="7" spans="2:19" x14ac:dyDescent="0.2">
      <c r="B7" s="139">
        <v>2003</v>
      </c>
      <c r="C7" s="121">
        <v>898.86829859739555</v>
      </c>
      <c r="D7" s="121">
        <v>115.44492902422844</v>
      </c>
      <c r="E7" s="121">
        <v>1014.313227621624</v>
      </c>
    </row>
    <row r="8" spans="2:19" x14ac:dyDescent="0.2">
      <c r="B8" s="139">
        <v>2004</v>
      </c>
      <c r="C8" s="121">
        <v>922.07222185249259</v>
      </c>
      <c r="D8" s="121">
        <v>116.4944239847737</v>
      </c>
      <c r="E8" s="121">
        <v>1038.5666458372664</v>
      </c>
    </row>
    <row r="9" spans="2:19" x14ac:dyDescent="0.2">
      <c r="B9" s="139">
        <v>2005</v>
      </c>
      <c r="C9" s="121">
        <v>950.77996779256625</v>
      </c>
      <c r="D9" s="121">
        <v>125.92114883529182</v>
      </c>
      <c r="E9" s="121">
        <v>1076.7011166278583</v>
      </c>
    </row>
    <row r="10" spans="2:19" x14ac:dyDescent="0.2">
      <c r="B10" s="139">
        <v>2006</v>
      </c>
      <c r="C10" s="121">
        <v>987.7252907640061</v>
      </c>
      <c r="D10" s="121">
        <v>132.76441974206148</v>
      </c>
      <c r="E10" s="121">
        <v>1120.4897105060675</v>
      </c>
    </row>
    <row r="11" spans="2:19" x14ac:dyDescent="0.2">
      <c r="B11" s="139">
        <v>2007</v>
      </c>
      <c r="C11" s="121">
        <v>1034.5189925775421</v>
      </c>
      <c r="D11" s="121">
        <v>134.88515154414526</v>
      </c>
      <c r="E11" s="121">
        <v>1169.4041441216875</v>
      </c>
    </row>
    <row r="12" spans="2:19" x14ac:dyDescent="0.2">
      <c r="B12" s="139">
        <v>2008</v>
      </c>
      <c r="C12" s="121">
        <v>1086.8349006562958</v>
      </c>
      <c r="D12" s="121">
        <v>120.02887500197799</v>
      </c>
      <c r="E12" s="121">
        <v>1206.8637756582737</v>
      </c>
    </row>
    <row r="13" spans="2:19" x14ac:dyDescent="0.2">
      <c r="B13" s="139">
        <v>2009</v>
      </c>
      <c r="C13" s="121">
        <v>1077.6264891524002</v>
      </c>
      <c r="D13" s="121">
        <v>112.7644322900819</v>
      </c>
      <c r="E13" s="121">
        <v>1190.3909214424823</v>
      </c>
    </row>
    <row r="14" spans="2:19" x14ac:dyDescent="0.2">
      <c r="B14" s="139">
        <v>2010</v>
      </c>
      <c r="C14" s="121">
        <v>1114.1252979947608</v>
      </c>
      <c r="D14" s="121">
        <v>115.31698169998326</v>
      </c>
      <c r="E14" s="121">
        <v>1229.442279694744</v>
      </c>
    </row>
    <row r="15" spans="2:19" x14ac:dyDescent="0.2">
      <c r="B15" s="139">
        <v>2011</v>
      </c>
      <c r="C15" s="121">
        <v>1156.6068096830309</v>
      </c>
      <c r="D15" s="121">
        <v>120.77401941225111</v>
      </c>
      <c r="E15" s="121">
        <v>1277.3808290952745</v>
      </c>
    </row>
    <row r="16" spans="2:19" x14ac:dyDescent="0.2">
      <c r="B16" s="139">
        <v>2012</v>
      </c>
      <c r="C16" s="27">
        <v>1188.4815323994578</v>
      </c>
      <c r="D16" s="27">
        <v>128.99990355598027</v>
      </c>
      <c r="E16" s="27">
        <v>1317.4814359554491</v>
      </c>
      <c r="H16" s="173"/>
      <c r="I16" s="173"/>
    </row>
    <row r="17" spans="1:9" x14ac:dyDescent="0.2">
      <c r="A17" s="193"/>
      <c r="B17" s="139">
        <v>2013</v>
      </c>
      <c r="C17" s="27">
        <v>1220.7927564478773</v>
      </c>
      <c r="D17" s="27">
        <v>136.48423583297034</v>
      </c>
      <c r="E17" s="27">
        <v>1357.2769922808741</v>
      </c>
      <c r="H17" s="173"/>
      <c r="I17" s="173"/>
    </row>
    <row r="18" spans="1:9" x14ac:dyDescent="0.2">
      <c r="A18" s="200"/>
      <c r="B18" s="139">
        <v>2014</v>
      </c>
      <c r="C18" s="27">
        <v>1204.1473599999999</v>
      </c>
      <c r="D18" s="27">
        <v>123.08058629999999</v>
      </c>
      <c r="E18" s="27">
        <v>1327.2279470000001</v>
      </c>
      <c r="H18" s="173"/>
      <c r="I18" s="173"/>
    </row>
    <row r="19" spans="1:9" x14ac:dyDescent="0.2">
      <c r="C19" s="30"/>
      <c r="D19" s="30"/>
      <c r="E19" s="30"/>
      <c r="F19" s="163"/>
    </row>
  </sheetData>
  <mergeCells count="1">
    <mergeCell ref="C4:E4"/>
  </mergeCells>
  <pageMargins left="0.7" right="0.7" top="0.78740157499999996" bottom="0.78740157499999996" header="0.3" footer="0.3"/>
  <pageSetup paperSize="9" scale="81" orientation="landscape" r:id="rId1"/>
  <colBreaks count="1" manualBreakCount="1">
    <brk id="14"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T35"/>
  <sheetViews>
    <sheetView view="pageBreakPreview" zoomScaleNormal="100" zoomScaleSheetLayoutView="100" workbookViewId="0">
      <selection activeCell="B1" sqref="B1"/>
    </sheetView>
  </sheetViews>
  <sheetFormatPr baseColWidth="10" defaultRowHeight="12.75" x14ac:dyDescent="0.2"/>
  <cols>
    <col min="1" max="1" width="2" style="125" customWidth="1"/>
    <col min="2" max="2" width="5.7109375" style="118" customWidth="1"/>
    <col min="3" max="3" width="15" style="118" customWidth="1"/>
    <col min="4" max="4" width="15.85546875" style="118" bestFit="1" customWidth="1"/>
    <col min="5" max="6" width="15" style="118" customWidth="1"/>
    <col min="7" max="16" width="11.42578125" style="118"/>
    <col min="17" max="17" width="8.5703125" style="118" bestFit="1" customWidth="1"/>
    <col min="18" max="18" width="14.28515625" style="118" bestFit="1" customWidth="1"/>
    <col min="19" max="19" width="12.5703125" style="118" bestFit="1" customWidth="1"/>
    <col min="20" max="16384" width="11.42578125" style="118"/>
  </cols>
  <sheetData>
    <row r="1" spans="1:19" ht="15.75" x14ac:dyDescent="0.2">
      <c r="B1" s="186" t="str">
        <f>Inhaltsverzeichnis!B62&amp;" "&amp;Inhaltsverzeichnis!C62&amp;" "&amp;Inhaltsverzeichnis!E62</f>
        <v>Tabelle 26b: Entwicklung der Pflichtigen, des Reineinkommens und Reinvermögens sowie der einfachen Kantonssteuer, 2001 – 2014 (indexiert)</v>
      </c>
      <c r="C1" s="187"/>
      <c r="D1" s="187"/>
      <c r="E1" s="187"/>
      <c r="F1" s="187"/>
      <c r="G1" s="187"/>
      <c r="H1" s="187"/>
      <c r="I1" s="187"/>
      <c r="J1" s="187"/>
      <c r="K1" s="187"/>
      <c r="L1" s="187"/>
      <c r="M1" s="187"/>
      <c r="N1" s="187"/>
      <c r="O1" s="187"/>
      <c r="P1" s="187"/>
      <c r="Q1" s="187"/>
      <c r="R1" s="187"/>
      <c r="S1" s="187"/>
    </row>
    <row r="3" spans="1:19" ht="25.5" x14ac:dyDescent="0.2">
      <c r="B3" s="167" t="s">
        <v>4</v>
      </c>
      <c r="C3" s="177" t="s">
        <v>420</v>
      </c>
      <c r="D3" s="184" t="s">
        <v>526</v>
      </c>
      <c r="E3" s="184" t="s">
        <v>527</v>
      </c>
      <c r="F3" s="184" t="s">
        <v>528</v>
      </c>
    </row>
    <row r="4" spans="1:19" x14ac:dyDescent="0.2">
      <c r="B4" s="139">
        <v>2001</v>
      </c>
      <c r="C4" s="121">
        <v>297032.06849706284</v>
      </c>
      <c r="D4" s="121">
        <f>17742462981.5231/1000000</f>
        <v>17742.462981523102</v>
      </c>
      <c r="E4" s="121">
        <f>75916343547.5808/1000000</f>
        <v>75916.343547580793</v>
      </c>
      <c r="F4" s="121">
        <f>1042877830.9655/1000000</f>
        <v>1042.8778309654999</v>
      </c>
    </row>
    <row r="5" spans="1:19" x14ac:dyDescent="0.2">
      <c r="B5" s="139">
        <v>2002</v>
      </c>
      <c r="C5" s="121">
        <v>301610.59926758514</v>
      </c>
      <c r="D5" s="121">
        <f>18056791142.7381/1000000</f>
        <v>18056.791142738097</v>
      </c>
      <c r="E5" s="121">
        <f>75854290837.3044/1000000</f>
        <v>75854.290837304405</v>
      </c>
      <c r="F5" s="121">
        <f>995297481.590838/1000000</f>
        <v>995.29748159083795</v>
      </c>
    </row>
    <row r="6" spans="1:19" x14ac:dyDescent="0.2">
      <c r="B6" s="139">
        <v>2003</v>
      </c>
      <c r="C6" s="121">
        <v>306943.21937556728</v>
      </c>
      <c r="D6" s="121">
        <f>18259095410.5138/1000000</f>
        <v>18259.095410513801</v>
      </c>
      <c r="E6" s="121">
        <f>79288103073.5543/1000000</f>
        <v>79288.103073554303</v>
      </c>
      <c r="F6" s="121">
        <f>1014313227.62163/1000000</f>
        <v>1014.3132276216299</v>
      </c>
    </row>
    <row r="7" spans="1:19" x14ac:dyDescent="0.2">
      <c r="B7" s="139">
        <v>2004</v>
      </c>
      <c r="C7" s="121">
        <v>311817.75535596634</v>
      </c>
      <c r="D7" s="121">
        <f>18641375877.9063/1000000</f>
        <v>18641.375877906299</v>
      </c>
      <c r="E7" s="121">
        <f>79831585697.3362/1000000</f>
        <v>79831.585697336195</v>
      </c>
      <c r="F7" s="121">
        <f>1038566645.83724/1000000</f>
        <v>1038.56664583724</v>
      </c>
    </row>
    <row r="8" spans="1:19" x14ac:dyDescent="0.2">
      <c r="B8" s="139">
        <v>2005</v>
      </c>
      <c r="C8" s="121">
        <v>316348.41468274372</v>
      </c>
      <c r="D8" s="121">
        <f>19033501276.7478/1000000</f>
        <v>19033.5012767478</v>
      </c>
      <c r="E8" s="121">
        <f>84020784332.4708/1000000</f>
        <v>84020.784332470794</v>
      </c>
      <c r="F8" s="121">
        <f>1076701116.62782/1000000</f>
        <v>1076.7011166278201</v>
      </c>
    </row>
    <row r="9" spans="1:19" x14ac:dyDescent="0.2">
      <c r="B9" s="139">
        <v>2006</v>
      </c>
      <c r="C9" s="121">
        <v>320784.19152067928</v>
      </c>
      <c r="D9" s="121">
        <f>19525762530.8571/1000000</f>
        <v>19525.762530857101</v>
      </c>
      <c r="E9" s="121">
        <f>87390015099.2121/1000000</f>
        <v>87390.015099212091</v>
      </c>
      <c r="F9" s="121">
        <f>1120489710.50613/1000000</f>
        <v>1120.48971050613</v>
      </c>
    </row>
    <row r="10" spans="1:19" x14ac:dyDescent="0.2">
      <c r="B10" s="139">
        <v>2007</v>
      </c>
      <c r="C10" s="121">
        <v>325545.75593777496</v>
      </c>
      <c r="D10" s="121">
        <f>20451541238.6773/1000000</f>
        <v>20451.541238677299</v>
      </c>
      <c r="E10" s="121">
        <f>88709784254.5659/1000000</f>
        <v>88709.784254565908</v>
      </c>
      <c r="F10" s="121">
        <f>1169404144.12167/1000000</f>
        <v>1169.40414412167</v>
      </c>
    </row>
    <row r="11" spans="1:19" x14ac:dyDescent="0.2">
      <c r="B11" s="139">
        <v>2008</v>
      </c>
      <c r="C11" s="121">
        <v>330149.53394653084</v>
      </c>
      <c r="D11" s="121">
        <f>21182374991.0552/1000000</f>
        <v>21182.3749910552</v>
      </c>
      <c r="E11" s="121">
        <f>82297141935.6351/1000000</f>
        <v>82297.141935635096</v>
      </c>
      <c r="F11" s="121">
        <f>1206863775.65829/1000000</f>
        <v>1206.8637756582898</v>
      </c>
    </row>
    <row r="12" spans="1:19" x14ac:dyDescent="0.2">
      <c r="B12" s="139">
        <v>2009</v>
      </c>
      <c r="C12" s="121">
        <v>336011.33484663442</v>
      </c>
      <c r="D12" s="121">
        <f>21737995266.9406/1000000</f>
        <v>21737.995266940601</v>
      </c>
      <c r="E12" s="121">
        <f>87697787069.0238/1000000</f>
        <v>87697.787069023805</v>
      </c>
      <c r="F12" s="121">
        <f>1190390921.44244/1000000</f>
        <v>1190.39092144244</v>
      </c>
    </row>
    <row r="13" spans="1:19" x14ac:dyDescent="0.2">
      <c r="B13" s="139">
        <v>2010</v>
      </c>
      <c r="C13" s="121">
        <v>342015.0956704634</v>
      </c>
      <c r="D13" s="121">
        <f>22342687862.609/1000000</f>
        <v>22342.687862609</v>
      </c>
      <c r="E13" s="121">
        <f>89192844763.1392/1000000</f>
        <v>89192.844763139205</v>
      </c>
      <c r="F13" s="121">
        <f>1229442279.69473/1000000</f>
        <v>1229.4422796947301</v>
      </c>
    </row>
    <row r="14" spans="1:19" x14ac:dyDescent="0.2">
      <c r="B14" s="139">
        <v>2011</v>
      </c>
      <c r="C14" s="121">
        <v>347401.98614643887</v>
      </c>
      <c r="D14" s="121">
        <f>23035731619.3255/1000000</f>
        <v>23035.731619325499</v>
      </c>
      <c r="E14" s="121">
        <f>92215640651.6709/1000000</f>
        <v>92215.640651670896</v>
      </c>
      <c r="F14" s="121">
        <f>1277380829.09527/1000000</f>
        <v>1277.38082909527</v>
      </c>
    </row>
    <row r="15" spans="1:19" x14ac:dyDescent="0.2">
      <c r="B15" s="139">
        <v>2012</v>
      </c>
      <c r="C15" s="121">
        <v>353200.69544202997</v>
      </c>
      <c r="D15" s="164">
        <f>23571818964.196/1000000</f>
        <v>23571.818964195998</v>
      </c>
      <c r="E15" s="164">
        <f>98152675494.7278/1000000</f>
        <v>98152.675494727795</v>
      </c>
      <c r="F15" s="164">
        <f>1317481435.95545/1000000</f>
        <v>1317.48143595545</v>
      </c>
      <c r="H15" s="173"/>
      <c r="I15" s="173"/>
      <c r="J15" s="173"/>
      <c r="K15" s="173"/>
      <c r="L15" s="173"/>
    </row>
    <row r="16" spans="1:19" x14ac:dyDescent="0.2">
      <c r="A16" s="193"/>
      <c r="B16" s="139">
        <v>2013</v>
      </c>
      <c r="C16" s="121">
        <v>358593.07773764897</v>
      </c>
      <c r="D16" s="164">
        <v>24051.897534447082</v>
      </c>
      <c r="E16" s="164">
        <v>102530.10100881133</v>
      </c>
      <c r="F16" s="164">
        <v>1357.2769922808741</v>
      </c>
      <c r="H16" s="173"/>
      <c r="I16" s="173"/>
      <c r="J16" s="173"/>
      <c r="K16" s="173"/>
      <c r="L16" s="173"/>
    </row>
    <row r="17" spans="1:20" x14ac:dyDescent="0.2">
      <c r="A17" s="200"/>
      <c r="B17" s="139">
        <v>2014</v>
      </c>
      <c r="C17" s="121">
        <v>363922.78649999999</v>
      </c>
      <c r="D17" s="121">
        <v>24393.56565</v>
      </c>
      <c r="E17" s="121">
        <v>103987.321</v>
      </c>
      <c r="F17" s="121">
        <v>1327.2279470000001</v>
      </c>
      <c r="H17" s="173"/>
      <c r="I17" s="173"/>
      <c r="J17" s="173"/>
      <c r="K17" s="173"/>
      <c r="L17" s="173"/>
    </row>
    <row r="18" spans="1:20" x14ac:dyDescent="0.2">
      <c r="D18" s="204"/>
      <c r="E18" s="204"/>
      <c r="F18" s="204"/>
    </row>
    <row r="19" spans="1:20" ht="25.5" customHeight="1" x14ac:dyDescent="0.2">
      <c r="B19" s="337" t="s">
        <v>33</v>
      </c>
      <c r="C19" s="338"/>
      <c r="D19" s="338"/>
      <c r="E19" s="338"/>
      <c r="F19" s="338"/>
      <c r="G19" s="174"/>
      <c r="H19" s="174"/>
      <c r="I19" s="174"/>
      <c r="J19" s="174"/>
      <c r="K19" s="174"/>
      <c r="L19" s="174"/>
      <c r="M19" s="174"/>
      <c r="N19" s="174"/>
    </row>
    <row r="21" spans="1:20" x14ac:dyDescent="0.2">
      <c r="P21" s="118" t="s">
        <v>4</v>
      </c>
      <c r="Q21" s="118" t="s">
        <v>10</v>
      </c>
      <c r="R21" s="118" t="s">
        <v>30</v>
      </c>
      <c r="S21" s="118" t="s">
        <v>32</v>
      </c>
      <c r="T21" s="118" t="s">
        <v>461</v>
      </c>
    </row>
    <row r="22" spans="1:20" x14ac:dyDescent="0.2">
      <c r="P22" s="118">
        <v>2001</v>
      </c>
      <c r="Q22" s="127">
        <v>100</v>
      </c>
      <c r="R22" s="127">
        <f>100</f>
        <v>100</v>
      </c>
      <c r="S22" s="127">
        <f>100</f>
        <v>100</v>
      </c>
      <c r="T22" s="127">
        <f>100</f>
        <v>100</v>
      </c>
    </row>
    <row r="23" spans="1:20" x14ac:dyDescent="0.2">
      <c r="P23" s="118">
        <v>2002</v>
      </c>
      <c r="Q23" s="128">
        <f>C5/$C$4*100</f>
        <v>101.54142641691483</v>
      </c>
      <c r="R23" s="128">
        <f>D5/$D$4*100</f>
        <v>101.77161514465232</v>
      </c>
      <c r="S23" s="128">
        <f>E5/$E$4*100</f>
        <v>99.918261724186578</v>
      </c>
      <c r="T23" s="128">
        <f>F5/$F$4*100</f>
        <v>95.437591253559205</v>
      </c>
    </row>
    <row r="24" spans="1:20" x14ac:dyDescent="0.2">
      <c r="P24" s="118">
        <v>2003</v>
      </c>
      <c r="Q24" s="128">
        <f t="shared" ref="Q24:Q33" si="0">C6/$C$4*100</f>
        <v>103.33672755559809</v>
      </c>
      <c r="R24" s="128">
        <f t="shared" ref="R24:R32" si="1">D6/$D$4*100</f>
        <v>102.91184166216784</v>
      </c>
      <c r="S24" s="128">
        <f t="shared" ref="S24:S32" si="2">E6/$E$4*100</f>
        <v>104.44141454713272</v>
      </c>
      <c r="T24" s="128">
        <f t="shared" ref="T24:T32" si="3">F6/$F$4*100</f>
        <v>97.260982782861078</v>
      </c>
    </row>
    <row r="25" spans="1:20" x14ac:dyDescent="0.2">
      <c r="P25" s="118">
        <v>2004</v>
      </c>
      <c r="Q25" s="128">
        <f t="shared" si="0"/>
        <v>104.97780826619727</v>
      </c>
      <c r="R25" s="128">
        <f t="shared" si="1"/>
        <v>105.06644932735281</v>
      </c>
      <c r="S25" s="128">
        <f t="shared" si="2"/>
        <v>105.15731128080677</v>
      </c>
      <c r="T25" s="128">
        <f t="shared" si="3"/>
        <v>99.586606887187486</v>
      </c>
    </row>
    <row r="26" spans="1:20" x14ac:dyDescent="0.2">
      <c r="P26" s="118">
        <v>2005</v>
      </c>
      <c r="Q26" s="128">
        <f t="shared" si="0"/>
        <v>106.50311809206954</v>
      </c>
      <c r="R26" s="128">
        <f t="shared" si="1"/>
        <v>107.27654495640869</v>
      </c>
      <c r="S26" s="128">
        <f t="shared" si="2"/>
        <v>110.6754888422814</v>
      </c>
      <c r="T26" s="128">
        <f t="shared" si="3"/>
        <v>103.24326442254568</v>
      </c>
    </row>
    <row r="27" spans="1:20" x14ac:dyDescent="0.2">
      <c r="P27" s="118">
        <v>2006</v>
      </c>
      <c r="Q27" s="128">
        <f t="shared" si="0"/>
        <v>107.99648440109466</v>
      </c>
      <c r="R27" s="128">
        <f t="shared" si="1"/>
        <v>110.05102589866536</v>
      </c>
      <c r="S27" s="128">
        <f t="shared" si="2"/>
        <v>115.1135724080812</v>
      </c>
      <c r="T27" s="128">
        <f t="shared" si="3"/>
        <v>107.44208738896835</v>
      </c>
    </row>
    <row r="28" spans="1:20" x14ac:dyDescent="0.2">
      <c r="P28" s="118">
        <v>2007</v>
      </c>
      <c r="Q28" s="128">
        <f t="shared" si="0"/>
        <v>109.59953165494456</v>
      </c>
      <c r="R28" s="128">
        <f t="shared" si="1"/>
        <v>115.26889620666203</v>
      </c>
      <c r="S28" s="128">
        <f t="shared" si="2"/>
        <v>116.8520243588481</v>
      </c>
      <c r="T28" s="128">
        <f t="shared" si="3"/>
        <v>112.13241948378858</v>
      </c>
    </row>
    <row r="29" spans="1:20" x14ac:dyDescent="0.2">
      <c r="P29" s="118">
        <v>2008</v>
      </c>
      <c r="Q29" s="128">
        <f t="shared" si="0"/>
        <v>111.14945790770585</v>
      </c>
      <c r="R29" s="128">
        <f t="shared" si="1"/>
        <v>119.38801852434131</v>
      </c>
      <c r="S29" s="128">
        <f t="shared" si="2"/>
        <v>108.40503913897686</v>
      </c>
      <c r="T29" s="128">
        <f t="shared" si="3"/>
        <v>115.72436768945134</v>
      </c>
    </row>
    <row r="30" spans="1:20" x14ac:dyDescent="0.2">
      <c r="P30" s="118">
        <v>2009</v>
      </c>
      <c r="Q30" s="128">
        <f t="shared" si="0"/>
        <v>113.122915160912</v>
      </c>
      <c r="R30" s="128">
        <f t="shared" si="1"/>
        <v>122.51960333567229</v>
      </c>
      <c r="S30" s="128">
        <f t="shared" si="2"/>
        <v>115.51898177769712</v>
      </c>
      <c r="T30" s="128">
        <f t="shared" si="3"/>
        <v>114.14481026414877</v>
      </c>
    </row>
    <row r="31" spans="1:20" x14ac:dyDescent="0.2">
      <c r="P31" s="118">
        <v>2010</v>
      </c>
      <c r="Q31" s="128">
        <f t="shared" si="0"/>
        <v>115.14416520782009</v>
      </c>
      <c r="R31" s="128">
        <f t="shared" si="1"/>
        <v>125.92776936255436</v>
      </c>
      <c r="S31" s="128">
        <f t="shared" si="2"/>
        <v>117.48833070080269</v>
      </c>
      <c r="T31" s="128">
        <f t="shared" si="3"/>
        <v>117.88938677088458</v>
      </c>
    </row>
    <row r="32" spans="1:20" x14ac:dyDescent="0.2">
      <c r="P32" s="118">
        <v>2011</v>
      </c>
      <c r="Q32" s="128">
        <f t="shared" si="0"/>
        <v>116.95773722488624</v>
      </c>
      <c r="R32" s="128">
        <f t="shared" si="1"/>
        <v>129.83389985547541</v>
      </c>
      <c r="S32" s="128">
        <f t="shared" si="2"/>
        <v>121.47007659012775</v>
      </c>
      <c r="T32" s="128">
        <f t="shared" si="3"/>
        <v>122.48614278363424</v>
      </c>
    </row>
    <row r="33" spans="16:20" x14ac:dyDescent="0.2">
      <c r="P33" s="118">
        <v>2012</v>
      </c>
      <c r="Q33" s="128">
        <f t="shared" si="0"/>
        <v>118.90995380706597</v>
      </c>
      <c r="R33" s="128">
        <f t="shared" ref="R33" si="4">D15/$D$4*100</f>
        <v>132.85539323792617</v>
      </c>
      <c r="S33" s="128">
        <f t="shared" ref="S33" si="5">E15/$E$4*100</f>
        <v>129.29057289648088</v>
      </c>
      <c r="T33" s="128">
        <f t="shared" ref="T33" si="6">F15/$F$4*100</f>
        <v>126.33133017466879</v>
      </c>
    </row>
    <row r="34" spans="16:20" x14ac:dyDescent="0.2">
      <c r="P34" s="118">
        <v>2013</v>
      </c>
      <c r="Q34" s="128">
        <f t="shared" ref="Q34:Q35" si="7">C16/$C$4*100</f>
        <v>120.72537472202092</v>
      </c>
      <c r="R34" s="128">
        <f t="shared" ref="R34:R35" si="8">D16/$D$4*100</f>
        <v>135.56121018538738</v>
      </c>
      <c r="S34" s="128">
        <f t="shared" ref="S34:S35" si="9">E16/$E$4*100</f>
        <v>135.05669032195985</v>
      </c>
      <c r="T34" s="128">
        <f t="shared" ref="T34:T35" si="10">F16/$F$4*100</f>
        <v>130.14726672483795</v>
      </c>
    </row>
    <row r="35" spans="16:20" x14ac:dyDescent="0.2">
      <c r="P35" s="118">
        <v>2014</v>
      </c>
      <c r="Q35" s="128">
        <f t="shared" si="7"/>
        <v>122.51969571548082</v>
      </c>
      <c r="R35" s="128">
        <f t="shared" si="8"/>
        <v>137.48691867303495</v>
      </c>
      <c r="S35" s="128">
        <f t="shared" si="9"/>
        <v>136.97619793137906</v>
      </c>
      <c r="T35" s="128">
        <f t="shared" si="10"/>
        <v>127.26590858406183</v>
      </c>
    </row>
  </sheetData>
  <mergeCells count="1">
    <mergeCell ref="B19:F19"/>
  </mergeCells>
  <pageMargins left="0.7" right="0.7" top="0.78740157499999996" bottom="0.78740157499999996" header="0.3" footer="0.3"/>
  <pageSetup paperSize="9" scale="7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C239"/>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86" customWidth="1"/>
    <col min="2" max="2" width="18.140625" style="86" customWidth="1"/>
    <col min="3" max="3" width="10.7109375" style="86" customWidth="1"/>
    <col min="4" max="4" width="12.140625" style="86" customWidth="1"/>
    <col min="5" max="5" width="10.42578125" style="86" customWidth="1"/>
    <col min="6" max="6" width="13.140625" style="86" customWidth="1"/>
    <col min="7" max="7" width="10.42578125" style="86" customWidth="1"/>
    <col min="8" max="8" width="12.28515625" style="86" bestFit="1" customWidth="1"/>
    <col min="9" max="9" width="10.42578125" style="86" customWidth="1"/>
    <col min="10" max="10" width="12.140625" style="86" customWidth="1"/>
    <col min="11" max="11" width="10.42578125" style="86" customWidth="1"/>
    <col min="12" max="12" width="6.5703125" style="86" customWidth="1"/>
    <col min="13" max="16384" width="11.42578125" style="86"/>
  </cols>
  <sheetData>
    <row r="1" spans="2:29" s="11" customFormat="1" ht="15.75" x14ac:dyDescent="0.2">
      <c r="B1" s="186" t="str">
        <f>Inhaltsverzeichnis!B65&amp;" "&amp;Inhaltsverzeichnis!C65&amp;" "&amp;Inhaltsverzeichnis!E65</f>
        <v>Tabelle 27: Einkommen und Vermögen der Pflichtigen mit Wohnsitz im Kanton Aargau nach Gemeinden, 2014</v>
      </c>
      <c r="C1" s="187"/>
      <c r="D1" s="187"/>
      <c r="E1" s="187"/>
      <c r="F1" s="187"/>
      <c r="G1" s="187"/>
      <c r="H1" s="187"/>
      <c r="I1" s="187"/>
      <c r="J1" s="187"/>
      <c r="K1" s="187"/>
      <c r="L1" s="187"/>
      <c r="M1" s="187"/>
      <c r="N1" s="187"/>
      <c r="O1" s="187"/>
      <c r="P1" s="187"/>
      <c r="Q1" s="187"/>
      <c r="R1" s="187"/>
      <c r="S1" s="187"/>
      <c r="T1" s="85"/>
      <c r="U1" s="85"/>
      <c r="V1" s="85"/>
      <c r="W1" s="85"/>
      <c r="X1" s="85"/>
      <c r="Y1" s="85"/>
      <c r="Z1" s="85"/>
      <c r="AA1" s="85"/>
      <c r="AB1" s="85"/>
      <c r="AC1" s="85"/>
    </row>
    <row r="3" spans="2:29" s="100" customFormat="1" ht="27" customHeight="1" x14ac:dyDescent="0.2">
      <c r="B3" s="284" t="s">
        <v>168</v>
      </c>
      <c r="C3" s="89" t="s">
        <v>668</v>
      </c>
      <c r="D3" s="282" t="s">
        <v>76</v>
      </c>
      <c r="E3" s="286"/>
      <c r="F3" s="282" t="s">
        <v>30</v>
      </c>
      <c r="G3" s="283"/>
      <c r="H3" s="282" t="s">
        <v>170</v>
      </c>
      <c r="I3" s="283"/>
      <c r="J3" s="282" t="s">
        <v>32</v>
      </c>
      <c r="K3" s="283"/>
    </row>
    <row r="4" spans="2:29" ht="15" customHeight="1" x14ac:dyDescent="0.2">
      <c r="B4" s="285"/>
      <c r="C4" s="103" t="s">
        <v>1</v>
      </c>
      <c r="D4" s="103" t="s">
        <v>169</v>
      </c>
      <c r="E4" s="103" t="s">
        <v>480</v>
      </c>
      <c r="F4" s="103" t="s">
        <v>169</v>
      </c>
      <c r="G4" s="140" t="s">
        <v>480</v>
      </c>
      <c r="H4" s="103" t="s">
        <v>169</v>
      </c>
      <c r="I4" s="140" t="s">
        <v>480</v>
      </c>
      <c r="J4" s="103" t="s">
        <v>169</v>
      </c>
      <c r="K4" s="140" t="s">
        <v>480</v>
      </c>
    </row>
    <row r="5" spans="2:29" x14ac:dyDescent="0.2">
      <c r="B5" s="218" t="s">
        <v>171</v>
      </c>
      <c r="C5" s="31">
        <v>350015</v>
      </c>
      <c r="D5" s="31">
        <v>84900</v>
      </c>
      <c r="E5" s="31">
        <v>68800</v>
      </c>
      <c r="F5" s="31">
        <v>66600</v>
      </c>
      <c r="G5" s="31">
        <v>54900</v>
      </c>
      <c r="H5" s="31">
        <v>468500</v>
      </c>
      <c r="I5" s="31">
        <v>138100</v>
      </c>
      <c r="J5" s="31">
        <v>284200</v>
      </c>
      <c r="K5" s="31">
        <v>37700</v>
      </c>
    </row>
    <row r="6" spans="2:29" x14ac:dyDescent="0.2">
      <c r="B6" s="218" t="s">
        <v>172</v>
      </c>
      <c r="C6" s="31">
        <v>30296</v>
      </c>
      <c r="D6" s="31">
        <v>83200</v>
      </c>
      <c r="E6" s="31">
        <v>68600</v>
      </c>
      <c r="F6" s="31">
        <v>66000</v>
      </c>
      <c r="G6" s="31">
        <v>55400</v>
      </c>
      <c r="H6" s="31">
        <v>446200</v>
      </c>
      <c r="I6" s="31">
        <v>150400</v>
      </c>
      <c r="J6" s="31">
        <v>270900</v>
      </c>
      <c r="K6" s="31">
        <v>42400</v>
      </c>
    </row>
    <row r="7" spans="2:29" ht="14.25" x14ac:dyDescent="0.2">
      <c r="B7" s="12" t="s">
        <v>664</v>
      </c>
      <c r="C7" s="219" t="s">
        <v>663</v>
      </c>
      <c r="D7" s="219" t="s">
        <v>663</v>
      </c>
      <c r="E7" s="219" t="s">
        <v>663</v>
      </c>
      <c r="F7" s="219" t="s">
        <v>663</v>
      </c>
      <c r="G7" s="219" t="s">
        <v>663</v>
      </c>
      <c r="H7" s="219" t="s">
        <v>663</v>
      </c>
      <c r="I7" s="219" t="s">
        <v>663</v>
      </c>
      <c r="J7" s="219" t="s">
        <v>663</v>
      </c>
      <c r="K7" s="219" t="s">
        <v>663</v>
      </c>
    </row>
    <row r="8" spans="2:29" x14ac:dyDescent="0.2">
      <c r="B8" s="220" t="s">
        <v>173</v>
      </c>
      <c r="C8" s="33">
        <v>873</v>
      </c>
      <c r="D8" s="33">
        <v>114600</v>
      </c>
      <c r="E8" s="33">
        <v>85300</v>
      </c>
      <c r="F8" s="33">
        <v>91100</v>
      </c>
      <c r="G8" s="33">
        <v>66400</v>
      </c>
      <c r="H8" s="33">
        <v>761100</v>
      </c>
      <c r="I8" s="33">
        <v>473900</v>
      </c>
      <c r="J8" s="33">
        <v>471000</v>
      </c>
      <c r="K8" s="33">
        <v>104100</v>
      </c>
    </row>
    <row r="9" spans="2:29" x14ac:dyDescent="0.2">
      <c r="B9" s="220" t="s">
        <v>505</v>
      </c>
      <c r="C9" s="33">
        <v>4304</v>
      </c>
      <c r="D9" s="33">
        <v>78700</v>
      </c>
      <c r="E9" s="33">
        <v>67000</v>
      </c>
      <c r="F9" s="33">
        <v>64100</v>
      </c>
      <c r="G9" s="33">
        <v>56400</v>
      </c>
      <c r="H9" s="33">
        <v>339000</v>
      </c>
      <c r="I9" s="33">
        <v>67200</v>
      </c>
      <c r="J9" s="33">
        <v>207600</v>
      </c>
      <c r="K9" s="33">
        <v>35700</v>
      </c>
    </row>
    <row r="10" spans="2:29" x14ac:dyDescent="0.2">
      <c r="B10" s="12" t="s">
        <v>174</v>
      </c>
      <c r="C10" s="33">
        <v>408</v>
      </c>
      <c r="D10" s="33">
        <v>71900</v>
      </c>
      <c r="E10" s="33">
        <v>60900</v>
      </c>
      <c r="F10" s="33">
        <v>55600</v>
      </c>
      <c r="G10" s="33">
        <v>48100</v>
      </c>
      <c r="H10" s="33">
        <v>422700</v>
      </c>
      <c r="I10" s="33">
        <v>251600</v>
      </c>
      <c r="J10" s="33">
        <v>251600</v>
      </c>
      <c r="K10" s="33">
        <v>64600</v>
      </c>
    </row>
    <row r="11" spans="2:29" x14ac:dyDescent="0.2">
      <c r="B11" s="12" t="s">
        <v>506</v>
      </c>
      <c r="C11" s="33">
        <v>2206</v>
      </c>
      <c r="D11" s="33">
        <v>96200</v>
      </c>
      <c r="E11" s="33">
        <v>76800</v>
      </c>
      <c r="F11" s="33">
        <v>75900</v>
      </c>
      <c r="G11" s="33">
        <v>61700</v>
      </c>
      <c r="H11" s="33">
        <v>610800</v>
      </c>
      <c r="I11" s="33">
        <v>344700</v>
      </c>
      <c r="J11" s="33">
        <v>367000</v>
      </c>
      <c r="K11" s="33">
        <v>60000</v>
      </c>
    </row>
    <row r="12" spans="2:29" x14ac:dyDescent="0.2">
      <c r="B12" s="12" t="s">
        <v>175</v>
      </c>
      <c r="C12" s="33">
        <v>4082</v>
      </c>
      <c r="D12" s="33">
        <v>80800</v>
      </c>
      <c r="E12" s="33">
        <v>69600</v>
      </c>
      <c r="F12" s="33">
        <v>63400</v>
      </c>
      <c r="G12" s="33">
        <v>55300</v>
      </c>
      <c r="H12" s="33">
        <v>448000</v>
      </c>
      <c r="I12" s="33">
        <v>256700</v>
      </c>
      <c r="J12" s="33">
        <v>261600</v>
      </c>
      <c r="K12" s="33">
        <v>40400</v>
      </c>
    </row>
    <row r="13" spans="2:29" x14ac:dyDescent="0.2">
      <c r="B13" s="12" t="s">
        <v>176</v>
      </c>
      <c r="C13" s="33">
        <v>884</v>
      </c>
      <c r="D13" s="33">
        <v>96900</v>
      </c>
      <c r="E13" s="33">
        <v>76200</v>
      </c>
      <c r="F13" s="33">
        <v>74800</v>
      </c>
      <c r="G13" s="33">
        <v>60400</v>
      </c>
      <c r="H13" s="33">
        <v>636100</v>
      </c>
      <c r="I13" s="33">
        <v>333200</v>
      </c>
      <c r="J13" s="33">
        <v>350900</v>
      </c>
      <c r="K13" s="33">
        <v>42200</v>
      </c>
    </row>
    <row r="14" spans="2:29" x14ac:dyDescent="0.2">
      <c r="B14" s="12" t="s">
        <v>177</v>
      </c>
      <c r="C14" s="33">
        <v>3458</v>
      </c>
      <c r="D14" s="33">
        <v>94300</v>
      </c>
      <c r="E14" s="33">
        <v>73300</v>
      </c>
      <c r="F14" s="33">
        <v>74600</v>
      </c>
      <c r="G14" s="33">
        <v>59300</v>
      </c>
      <c r="H14" s="33">
        <v>600600</v>
      </c>
      <c r="I14" s="33">
        <v>283200</v>
      </c>
      <c r="J14" s="33">
        <v>391600</v>
      </c>
      <c r="K14" s="33">
        <v>62700</v>
      </c>
    </row>
    <row r="15" spans="2:29" x14ac:dyDescent="0.2">
      <c r="B15" s="12" t="s">
        <v>178</v>
      </c>
      <c r="C15" s="33">
        <v>2131</v>
      </c>
      <c r="D15" s="33">
        <v>82700</v>
      </c>
      <c r="E15" s="33">
        <v>68700</v>
      </c>
      <c r="F15" s="33">
        <v>64200</v>
      </c>
      <c r="G15" s="33">
        <v>53900</v>
      </c>
      <c r="H15" s="33">
        <v>446900</v>
      </c>
      <c r="I15" s="33">
        <v>347200</v>
      </c>
      <c r="J15" s="33">
        <v>238400</v>
      </c>
      <c r="K15" s="33">
        <v>53500</v>
      </c>
    </row>
    <row r="16" spans="2:29" x14ac:dyDescent="0.2">
      <c r="B16" s="12" t="s">
        <v>179</v>
      </c>
      <c r="C16" s="33">
        <v>4325</v>
      </c>
      <c r="D16" s="33">
        <v>74600</v>
      </c>
      <c r="E16" s="33">
        <v>64000</v>
      </c>
      <c r="F16" s="33">
        <v>59400</v>
      </c>
      <c r="G16" s="33">
        <v>51700</v>
      </c>
      <c r="H16" s="33">
        <v>362100</v>
      </c>
      <c r="I16" s="33">
        <v>96700</v>
      </c>
      <c r="J16" s="33">
        <v>216900</v>
      </c>
      <c r="K16" s="33">
        <v>33100</v>
      </c>
    </row>
    <row r="17" spans="2:11" x14ac:dyDescent="0.2">
      <c r="B17" s="12" t="s">
        <v>180</v>
      </c>
      <c r="C17" s="33">
        <v>5379</v>
      </c>
      <c r="D17" s="33">
        <v>76800</v>
      </c>
      <c r="E17" s="33">
        <v>64000</v>
      </c>
      <c r="F17" s="33">
        <v>61300</v>
      </c>
      <c r="G17" s="33">
        <v>52200</v>
      </c>
      <c r="H17" s="33">
        <v>345900</v>
      </c>
      <c r="I17" s="33">
        <v>62900</v>
      </c>
      <c r="J17" s="33">
        <v>214200</v>
      </c>
      <c r="K17" s="33">
        <v>30200</v>
      </c>
    </row>
    <row r="18" spans="2:11" x14ac:dyDescent="0.2">
      <c r="B18" s="12" t="s">
        <v>181</v>
      </c>
      <c r="C18" s="33">
        <v>2246</v>
      </c>
      <c r="D18" s="33">
        <v>83300</v>
      </c>
      <c r="E18" s="33">
        <v>70400</v>
      </c>
      <c r="F18" s="33">
        <v>65900</v>
      </c>
      <c r="G18" s="33">
        <v>56400</v>
      </c>
      <c r="H18" s="33">
        <v>457700</v>
      </c>
      <c r="I18" s="33">
        <v>139900</v>
      </c>
      <c r="J18" s="33">
        <v>293700</v>
      </c>
      <c r="K18" s="33">
        <v>48600</v>
      </c>
    </row>
    <row r="19" spans="2:11" x14ac:dyDescent="0.2">
      <c r="B19" s="218" t="s">
        <v>182</v>
      </c>
      <c r="C19" s="31">
        <v>77790</v>
      </c>
      <c r="D19" s="31">
        <v>89100</v>
      </c>
      <c r="E19" s="31">
        <v>70800</v>
      </c>
      <c r="F19" s="31">
        <v>70800</v>
      </c>
      <c r="G19" s="31">
        <v>57100</v>
      </c>
      <c r="H19" s="31">
        <v>479200</v>
      </c>
      <c r="I19" s="31">
        <v>101500</v>
      </c>
      <c r="J19" s="31">
        <v>300100</v>
      </c>
      <c r="K19" s="31">
        <v>37300</v>
      </c>
    </row>
    <row r="20" spans="2:11" x14ac:dyDescent="0.2">
      <c r="B20" s="12" t="s">
        <v>183</v>
      </c>
      <c r="C20" s="35">
        <v>11260</v>
      </c>
      <c r="D20" s="35">
        <v>93900</v>
      </c>
      <c r="E20" s="35">
        <v>72300</v>
      </c>
      <c r="F20" s="35">
        <v>75500</v>
      </c>
      <c r="G20" s="35">
        <v>58700</v>
      </c>
      <c r="H20" s="35">
        <v>502000</v>
      </c>
      <c r="I20" s="35">
        <v>85400</v>
      </c>
      <c r="J20" s="35">
        <v>345800</v>
      </c>
      <c r="K20" s="35">
        <v>42600</v>
      </c>
    </row>
    <row r="21" spans="2:11" x14ac:dyDescent="0.2">
      <c r="B21" s="12" t="s">
        <v>184</v>
      </c>
      <c r="C21" s="35">
        <v>901</v>
      </c>
      <c r="D21" s="35">
        <v>108800</v>
      </c>
      <c r="E21" s="35">
        <v>87300</v>
      </c>
      <c r="F21" s="35">
        <v>86300</v>
      </c>
      <c r="G21" s="35">
        <v>67400</v>
      </c>
      <c r="H21" s="35">
        <v>716700</v>
      </c>
      <c r="I21" s="35">
        <v>354400</v>
      </c>
      <c r="J21" s="35">
        <v>407800</v>
      </c>
      <c r="K21" s="35">
        <v>75300</v>
      </c>
    </row>
    <row r="22" spans="2:11" x14ac:dyDescent="0.2">
      <c r="B22" s="12" t="s">
        <v>185</v>
      </c>
      <c r="C22" s="35">
        <v>1509</v>
      </c>
      <c r="D22" s="35">
        <v>117100</v>
      </c>
      <c r="E22" s="35">
        <v>87500</v>
      </c>
      <c r="F22" s="35">
        <v>92500</v>
      </c>
      <c r="G22" s="35">
        <v>68500</v>
      </c>
      <c r="H22" s="35">
        <v>1045500</v>
      </c>
      <c r="I22" s="35">
        <v>484500</v>
      </c>
      <c r="J22" s="35">
        <v>680200</v>
      </c>
      <c r="K22" s="35">
        <v>98900</v>
      </c>
    </row>
    <row r="23" spans="2:11" x14ac:dyDescent="0.2">
      <c r="B23" s="12" t="s">
        <v>507</v>
      </c>
      <c r="C23" s="35">
        <v>1590</v>
      </c>
      <c r="D23" s="35">
        <v>99700</v>
      </c>
      <c r="E23" s="35">
        <v>79700</v>
      </c>
      <c r="F23" s="35">
        <v>78400</v>
      </c>
      <c r="G23" s="35">
        <v>64300</v>
      </c>
      <c r="H23" s="35">
        <v>536500</v>
      </c>
      <c r="I23" s="35">
        <v>291800</v>
      </c>
      <c r="J23" s="35">
        <v>277200</v>
      </c>
      <c r="K23" s="35">
        <v>49700</v>
      </c>
    </row>
    <row r="24" spans="2:11" x14ac:dyDescent="0.2">
      <c r="B24" s="12" t="s">
        <v>186</v>
      </c>
      <c r="C24" s="35">
        <v>2582</v>
      </c>
      <c r="D24" s="35">
        <v>90000</v>
      </c>
      <c r="E24" s="35">
        <v>74400</v>
      </c>
      <c r="F24" s="35">
        <v>70300</v>
      </c>
      <c r="G24" s="35">
        <v>58900</v>
      </c>
      <c r="H24" s="35">
        <v>491000</v>
      </c>
      <c r="I24" s="35">
        <v>284100</v>
      </c>
      <c r="J24" s="35">
        <v>270900</v>
      </c>
      <c r="K24" s="35">
        <v>50000</v>
      </c>
    </row>
    <row r="25" spans="2:11" x14ac:dyDescent="0.2">
      <c r="B25" s="12" t="s">
        <v>187</v>
      </c>
      <c r="C25" s="35">
        <v>1883</v>
      </c>
      <c r="D25" s="35">
        <v>117300</v>
      </c>
      <c r="E25" s="35">
        <v>86000</v>
      </c>
      <c r="F25" s="35">
        <v>93800</v>
      </c>
      <c r="G25" s="35">
        <v>68400</v>
      </c>
      <c r="H25" s="35">
        <v>841000</v>
      </c>
      <c r="I25" s="35">
        <v>296300</v>
      </c>
      <c r="J25" s="35">
        <v>558500</v>
      </c>
      <c r="K25" s="35">
        <v>85000</v>
      </c>
    </row>
    <row r="26" spans="2:11" x14ac:dyDescent="0.2">
      <c r="B26" s="12" t="s">
        <v>188</v>
      </c>
      <c r="C26" s="35">
        <v>3120</v>
      </c>
      <c r="D26" s="35">
        <v>82800</v>
      </c>
      <c r="E26" s="35">
        <v>69000</v>
      </c>
      <c r="F26" s="35">
        <v>65300</v>
      </c>
      <c r="G26" s="35">
        <v>55800</v>
      </c>
      <c r="H26" s="35">
        <v>401500</v>
      </c>
      <c r="I26" s="35">
        <v>94400</v>
      </c>
      <c r="J26" s="35">
        <v>237000</v>
      </c>
      <c r="K26" s="35">
        <v>42400</v>
      </c>
    </row>
    <row r="27" spans="2:11" x14ac:dyDescent="0.2">
      <c r="B27" s="12" t="s">
        <v>189</v>
      </c>
      <c r="C27" s="35">
        <v>529</v>
      </c>
      <c r="D27" s="35">
        <v>96000</v>
      </c>
      <c r="E27" s="35">
        <v>82500</v>
      </c>
      <c r="F27" s="35">
        <v>74100</v>
      </c>
      <c r="G27" s="35">
        <v>63600</v>
      </c>
      <c r="H27" s="35">
        <v>487600</v>
      </c>
      <c r="I27" s="35">
        <v>290400</v>
      </c>
      <c r="J27" s="35">
        <v>253600</v>
      </c>
      <c r="K27" s="35">
        <v>50000</v>
      </c>
    </row>
    <row r="28" spans="2:11" x14ac:dyDescent="0.2">
      <c r="B28" s="12" t="s">
        <v>190</v>
      </c>
      <c r="C28" s="35">
        <v>2783</v>
      </c>
      <c r="D28" s="35">
        <v>82400</v>
      </c>
      <c r="E28" s="35">
        <v>69800</v>
      </c>
      <c r="F28" s="35">
        <v>63900</v>
      </c>
      <c r="G28" s="35">
        <v>55300</v>
      </c>
      <c r="H28" s="35">
        <v>440500</v>
      </c>
      <c r="I28" s="35">
        <v>173800</v>
      </c>
      <c r="J28" s="35">
        <v>244900</v>
      </c>
      <c r="K28" s="35">
        <v>37200</v>
      </c>
    </row>
    <row r="29" spans="2:11" x14ac:dyDescent="0.2">
      <c r="B29" s="12" t="s">
        <v>191</v>
      </c>
      <c r="C29" s="35">
        <v>1059</v>
      </c>
      <c r="D29" s="35">
        <v>93800</v>
      </c>
      <c r="E29" s="35">
        <v>78200</v>
      </c>
      <c r="F29" s="35">
        <v>73500</v>
      </c>
      <c r="G29" s="35">
        <v>63700</v>
      </c>
      <c r="H29" s="35">
        <v>523200</v>
      </c>
      <c r="I29" s="35">
        <v>345200</v>
      </c>
      <c r="J29" s="35">
        <v>265900</v>
      </c>
      <c r="K29" s="35">
        <v>40700</v>
      </c>
    </row>
    <row r="30" spans="2:11" x14ac:dyDescent="0.2">
      <c r="B30" s="12" t="s">
        <v>192</v>
      </c>
      <c r="C30" s="35">
        <v>916</v>
      </c>
      <c r="D30" s="35">
        <v>84800</v>
      </c>
      <c r="E30" s="35">
        <v>70400</v>
      </c>
      <c r="F30" s="35">
        <v>65000</v>
      </c>
      <c r="G30" s="35">
        <v>54900</v>
      </c>
      <c r="H30" s="35">
        <v>453400</v>
      </c>
      <c r="I30" s="35">
        <v>277600</v>
      </c>
      <c r="J30" s="35">
        <v>227000</v>
      </c>
      <c r="K30" s="35">
        <v>46800</v>
      </c>
    </row>
    <row r="31" spans="2:11" x14ac:dyDescent="0.2">
      <c r="B31" s="12" t="s">
        <v>193</v>
      </c>
      <c r="C31" s="35">
        <v>1084</v>
      </c>
      <c r="D31" s="35">
        <v>90600</v>
      </c>
      <c r="E31" s="35">
        <v>75200</v>
      </c>
      <c r="F31" s="35">
        <v>71000</v>
      </c>
      <c r="G31" s="35">
        <v>58900</v>
      </c>
      <c r="H31" s="35">
        <v>481600</v>
      </c>
      <c r="I31" s="35">
        <v>196400</v>
      </c>
      <c r="J31" s="35">
        <v>263800</v>
      </c>
      <c r="K31" s="35">
        <v>25800</v>
      </c>
    </row>
    <row r="32" spans="2:11" x14ac:dyDescent="0.2">
      <c r="B32" s="12" t="s">
        <v>194</v>
      </c>
      <c r="C32" s="35">
        <v>2813</v>
      </c>
      <c r="D32" s="35">
        <v>82400</v>
      </c>
      <c r="E32" s="35">
        <v>68100</v>
      </c>
      <c r="F32" s="35">
        <v>65000</v>
      </c>
      <c r="G32" s="35">
        <v>54300</v>
      </c>
      <c r="H32" s="35">
        <v>358400</v>
      </c>
      <c r="I32" s="35">
        <v>65200</v>
      </c>
      <c r="J32" s="35">
        <v>197900</v>
      </c>
      <c r="K32" s="35">
        <v>24100</v>
      </c>
    </row>
    <row r="33" spans="2:11" x14ac:dyDescent="0.2">
      <c r="B33" s="12" t="s">
        <v>195</v>
      </c>
      <c r="C33" s="35">
        <v>4726</v>
      </c>
      <c r="D33" s="35">
        <v>67800</v>
      </c>
      <c r="E33" s="35">
        <v>60800</v>
      </c>
      <c r="F33" s="35">
        <v>54000</v>
      </c>
      <c r="G33" s="35">
        <v>48800</v>
      </c>
      <c r="H33" s="35">
        <v>219900</v>
      </c>
      <c r="I33" s="35">
        <v>25600</v>
      </c>
      <c r="J33" s="35">
        <v>138700</v>
      </c>
      <c r="K33" s="35">
        <v>13000</v>
      </c>
    </row>
    <row r="34" spans="2:11" x14ac:dyDescent="0.2">
      <c r="B34" s="12" t="s">
        <v>196</v>
      </c>
      <c r="C34" s="35">
        <v>2033</v>
      </c>
      <c r="D34" s="35">
        <v>96100</v>
      </c>
      <c r="E34" s="35">
        <v>77900</v>
      </c>
      <c r="F34" s="35">
        <v>75300</v>
      </c>
      <c r="G34" s="35">
        <v>61400</v>
      </c>
      <c r="H34" s="35">
        <v>518500</v>
      </c>
      <c r="I34" s="35">
        <v>250000</v>
      </c>
      <c r="J34" s="35">
        <v>310200</v>
      </c>
      <c r="K34" s="35">
        <v>58300</v>
      </c>
    </row>
    <row r="35" spans="2:11" x14ac:dyDescent="0.2">
      <c r="B35" s="12" t="s">
        <v>197</v>
      </c>
      <c r="C35" s="35">
        <v>2327</v>
      </c>
      <c r="D35" s="35">
        <v>103100</v>
      </c>
      <c r="E35" s="35">
        <v>78400</v>
      </c>
      <c r="F35" s="35">
        <v>80200</v>
      </c>
      <c r="G35" s="35">
        <v>61300</v>
      </c>
      <c r="H35" s="35">
        <v>733600</v>
      </c>
      <c r="I35" s="35">
        <v>383900</v>
      </c>
      <c r="J35" s="35">
        <v>477100</v>
      </c>
      <c r="K35" s="35">
        <v>69500</v>
      </c>
    </row>
    <row r="36" spans="2:11" x14ac:dyDescent="0.2">
      <c r="B36" s="12" t="s">
        <v>198</v>
      </c>
      <c r="C36" s="35">
        <v>4766</v>
      </c>
      <c r="D36" s="35">
        <v>92600</v>
      </c>
      <c r="E36" s="35">
        <v>72100</v>
      </c>
      <c r="F36" s="35">
        <v>74600</v>
      </c>
      <c r="G36" s="35">
        <v>58800</v>
      </c>
      <c r="H36" s="35">
        <v>590000</v>
      </c>
      <c r="I36" s="35">
        <v>127900</v>
      </c>
      <c r="J36" s="35">
        <v>423800</v>
      </c>
      <c r="K36" s="35">
        <v>53900</v>
      </c>
    </row>
    <row r="37" spans="2:11" x14ac:dyDescent="0.2">
      <c r="B37" s="12" t="s">
        <v>199</v>
      </c>
      <c r="C37" s="35">
        <v>1088</v>
      </c>
      <c r="D37" s="35">
        <v>110500</v>
      </c>
      <c r="E37" s="35">
        <v>84200</v>
      </c>
      <c r="F37" s="35">
        <v>85500</v>
      </c>
      <c r="G37" s="35">
        <v>64600</v>
      </c>
      <c r="H37" s="35">
        <v>824400</v>
      </c>
      <c r="I37" s="35">
        <v>429800</v>
      </c>
      <c r="J37" s="35">
        <v>470500</v>
      </c>
      <c r="K37" s="35">
        <v>65000</v>
      </c>
    </row>
    <row r="38" spans="2:11" x14ac:dyDescent="0.2">
      <c r="B38" s="12" t="s">
        <v>200</v>
      </c>
      <c r="C38" s="35">
        <v>5663</v>
      </c>
      <c r="D38" s="35">
        <v>72300</v>
      </c>
      <c r="E38" s="35">
        <v>62100</v>
      </c>
      <c r="F38" s="35">
        <v>58300</v>
      </c>
      <c r="G38" s="35">
        <v>51000</v>
      </c>
      <c r="H38" s="35">
        <v>225300</v>
      </c>
      <c r="I38" s="35">
        <v>16800</v>
      </c>
      <c r="J38" s="35">
        <v>130100</v>
      </c>
      <c r="K38" s="35">
        <v>8900</v>
      </c>
    </row>
    <row r="39" spans="2:11" x14ac:dyDescent="0.2">
      <c r="B39" s="12" t="s">
        <v>508</v>
      </c>
      <c r="C39" s="35">
        <v>1085</v>
      </c>
      <c r="D39" s="35">
        <v>92900</v>
      </c>
      <c r="E39" s="35">
        <v>71100</v>
      </c>
      <c r="F39" s="35">
        <v>73800</v>
      </c>
      <c r="G39" s="35">
        <v>56200</v>
      </c>
      <c r="H39" s="35">
        <v>457200</v>
      </c>
      <c r="I39" s="35">
        <v>138000</v>
      </c>
      <c r="J39" s="35">
        <v>258800</v>
      </c>
      <c r="K39" s="35">
        <v>29700</v>
      </c>
    </row>
    <row r="40" spans="2:11" x14ac:dyDescent="0.2">
      <c r="B40" s="12" t="s">
        <v>201</v>
      </c>
      <c r="C40" s="35">
        <v>1675</v>
      </c>
      <c r="D40" s="35">
        <v>73200</v>
      </c>
      <c r="E40" s="35">
        <v>61200</v>
      </c>
      <c r="F40" s="35">
        <v>58100</v>
      </c>
      <c r="G40" s="35">
        <v>49500</v>
      </c>
      <c r="H40" s="35">
        <v>284700</v>
      </c>
      <c r="I40" s="35">
        <v>36300</v>
      </c>
      <c r="J40" s="35">
        <v>181900</v>
      </c>
      <c r="K40" s="35">
        <v>20600</v>
      </c>
    </row>
    <row r="41" spans="2:11" x14ac:dyDescent="0.2">
      <c r="B41" s="12" t="s">
        <v>202</v>
      </c>
      <c r="C41" s="35">
        <v>3896</v>
      </c>
      <c r="D41" s="35">
        <v>84500</v>
      </c>
      <c r="E41" s="35">
        <v>70400</v>
      </c>
      <c r="F41" s="35">
        <v>66400</v>
      </c>
      <c r="G41" s="35">
        <v>56100</v>
      </c>
      <c r="H41" s="35">
        <v>465100</v>
      </c>
      <c r="I41" s="35">
        <v>117200</v>
      </c>
      <c r="J41" s="35">
        <v>292000</v>
      </c>
      <c r="K41" s="35">
        <v>37700</v>
      </c>
    </row>
    <row r="42" spans="2:11" x14ac:dyDescent="0.2">
      <c r="B42" s="12" t="s">
        <v>203</v>
      </c>
      <c r="C42" s="35">
        <v>12042</v>
      </c>
      <c r="D42" s="35">
        <v>87000</v>
      </c>
      <c r="E42" s="35">
        <v>68100</v>
      </c>
      <c r="F42" s="35">
        <v>70300</v>
      </c>
      <c r="G42" s="35">
        <v>55700</v>
      </c>
      <c r="H42" s="35">
        <v>443700</v>
      </c>
      <c r="I42" s="35">
        <v>77600</v>
      </c>
      <c r="J42" s="35">
        <v>296500</v>
      </c>
      <c r="K42" s="35">
        <v>40200</v>
      </c>
    </row>
    <row r="43" spans="2:11" x14ac:dyDescent="0.2">
      <c r="B43" s="12" t="s">
        <v>204</v>
      </c>
      <c r="C43" s="35">
        <v>808</v>
      </c>
      <c r="D43" s="35">
        <v>87000</v>
      </c>
      <c r="E43" s="35">
        <v>72500</v>
      </c>
      <c r="F43" s="35">
        <v>66700</v>
      </c>
      <c r="G43" s="35">
        <v>55600</v>
      </c>
      <c r="H43" s="35">
        <v>508200</v>
      </c>
      <c r="I43" s="35">
        <v>299700</v>
      </c>
      <c r="J43" s="35">
        <v>274100</v>
      </c>
      <c r="K43" s="35">
        <v>58200</v>
      </c>
    </row>
    <row r="44" spans="2:11" x14ac:dyDescent="0.2">
      <c r="B44" s="12" t="s">
        <v>205</v>
      </c>
      <c r="C44" s="35">
        <v>2405</v>
      </c>
      <c r="D44" s="35">
        <v>87600</v>
      </c>
      <c r="E44" s="35">
        <v>74300</v>
      </c>
      <c r="F44" s="35">
        <v>69000</v>
      </c>
      <c r="G44" s="35">
        <v>59500</v>
      </c>
      <c r="H44" s="35">
        <v>440200</v>
      </c>
      <c r="I44" s="35">
        <v>152300</v>
      </c>
      <c r="J44" s="35">
        <v>253700</v>
      </c>
      <c r="K44" s="35">
        <v>39900</v>
      </c>
    </row>
    <row r="45" spans="2:11" x14ac:dyDescent="0.2">
      <c r="B45" s="12" t="s">
        <v>206</v>
      </c>
      <c r="C45" s="35">
        <v>3247</v>
      </c>
      <c r="D45" s="35">
        <v>102800</v>
      </c>
      <c r="E45" s="35">
        <v>83600</v>
      </c>
      <c r="F45" s="35">
        <v>80600</v>
      </c>
      <c r="G45" s="35">
        <v>67400</v>
      </c>
      <c r="H45" s="35">
        <v>640300</v>
      </c>
      <c r="I45" s="35">
        <v>383100</v>
      </c>
      <c r="J45" s="35">
        <v>366100</v>
      </c>
      <c r="K45" s="35">
        <v>72000</v>
      </c>
    </row>
    <row r="46" spans="2:11" x14ac:dyDescent="0.2">
      <c r="B46" s="218" t="s">
        <v>207</v>
      </c>
      <c r="C46" s="31">
        <v>41242</v>
      </c>
      <c r="D46" s="31">
        <v>90100</v>
      </c>
      <c r="E46" s="31">
        <v>70200</v>
      </c>
      <c r="F46" s="31">
        <v>70800</v>
      </c>
      <c r="G46" s="31">
        <v>55800</v>
      </c>
      <c r="H46" s="31">
        <v>527300</v>
      </c>
      <c r="I46" s="31">
        <v>133800</v>
      </c>
      <c r="J46" s="31">
        <v>315100</v>
      </c>
      <c r="K46" s="31">
        <v>35300</v>
      </c>
    </row>
    <row r="47" spans="2:11" x14ac:dyDescent="0.2">
      <c r="B47" s="12" t="s">
        <v>509</v>
      </c>
      <c r="C47" s="35">
        <v>1004</v>
      </c>
      <c r="D47" s="35">
        <v>115900</v>
      </c>
      <c r="E47" s="35">
        <v>88400</v>
      </c>
      <c r="F47" s="35">
        <v>89400</v>
      </c>
      <c r="G47" s="35">
        <v>68700</v>
      </c>
      <c r="H47" s="35">
        <v>845800</v>
      </c>
      <c r="I47" s="35">
        <v>405400</v>
      </c>
      <c r="J47" s="35">
        <v>494900</v>
      </c>
      <c r="K47" s="35">
        <v>71100</v>
      </c>
    </row>
    <row r="48" spans="2:11" x14ac:dyDescent="0.2">
      <c r="B48" s="12" t="s">
        <v>208</v>
      </c>
      <c r="C48" s="35">
        <v>2581</v>
      </c>
      <c r="D48" s="35">
        <v>93800</v>
      </c>
      <c r="E48" s="35">
        <v>74700</v>
      </c>
      <c r="F48" s="35">
        <v>74300</v>
      </c>
      <c r="G48" s="35">
        <v>60600</v>
      </c>
      <c r="H48" s="35">
        <v>624600</v>
      </c>
      <c r="I48" s="35">
        <v>91200</v>
      </c>
      <c r="J48" s="35">
        <v>418000</v>
      </c>
      <c r="K48" s="35">
        <v>37900</v>
      </c>
    </row>
    <row r="49" spans="2:11" x14ac:dyDescent="0.2">
      <c r="B49" s="12" t="s">
        <v>510</v>
      </c>
      <c r="C49" s="35">
        <v>4523</v>
      </c>
      <c r="D49" s="35">
        <v>83700</v>
      </c>
      <c r="E49" s="35">
        <v>66600</v>
      </c>
      <c r="F49" s="35">
        <v>66100</v>
      </c>
      <c r="G49" s="35">
        <v>53700</v>
      </c>
      <c r="H49" s="35">
        <v>457900</v>
      </c>
      <c r="I49" s="35">
        <v>62000</v>
      </c>
      <c r="J49" s="35">
        <v>277900</v>
      </c>
      <c r="K49" s="35">
        <v>27500</v>
      </c>
    </row>
    <row r="50" spans="2:11" x14ac:dyDescent="0.2">
      <c r="B50" s="12" t="s">
        <v>209</v>
      </c>
      <c r="C50" s="35">
        <v>544</v>
      </c>
      <c r="D50" s="35">
        <v>95300</v>
      </c>
      <c r="E50" s="35">
        <v>79600</v>
      </c>
      <c r="F50" s="35">
        <v>73100</v>
      </c>
      <c r="G50" s="35">
        <v>59700</v>
      </c>
      <c r="H50" s="35">
        <v>502100</v>
      </c>
      <c r="I50" s="35">
        <v>370600</v>
      </c>
      <c r="J50" s="35">
        <v>216100</v>
      </c>
      <c r="K50" s="35">
        <v>31500</v>
      </c>
    </row>
    <row r="51" spans="2:11" x14ac:dyDescent="0.2">
      <c r="B51" s="12" t="s">
        <v>210</v>
      </c>
      <c r="C51" s="35">
        <v>2134</v>
      </c>
      <c r="D51" s="35">
        <v>76300</v>
      </c>
      <c r="E51" s="35">
        <v>66200</v>
      </c>
      <c r="F51" s="35">
        <v>59600</v>
      </c>
      <c r="G51" s="35">
        <v>52500</v>
      </c>
      <c r="H51" s="35">
        <v>337100</v>
      </c>
      <c r="I51" s="35">
        <v>65300</v>
      </c>
      <c r="J51" s="35">
        <v>197800</v>
      </c>
      <c r="K51" s="35">
        <v>21500</v>
      </c>
    </row>
    <row r="52" spans="2:11" x14ac:dyDescent="0.2">
      <c r="B52" s="12" t="s">
        <v>211</v>
      </c>
      <c r="C52" s="35">
        <v>521</v>
      </c>
      <c r="D52" s="35">
        <v>98900</v>
      </c>
      <c r="E52" s="35">
        <v>82500</v>
      </c>
      <c r="F52" s="35">
        <v>76000</v>
      </c>
      <c r="G52" s="35">
        <v>62900</v>
      </c>
      <c r="H52" s="35">
        <v>547800</v>
      </c>
      <c r="I52" s="35">
        <v>400000</v>
      </c>
      <c r="J52" s="35">
        <v>256500</v>
      </c>
      <c r="K52" s="35">
        <v>46400</v>
      </c>
    </row>
    <row r="53" spans="2:11" x14ac:dyDescent="0.2">
      <c r="B53" s="12" t="s">
        <v>212</v>
      </c>
      <c r="C53" s="35">
        <v>888</v>
      </c>
      <c r="D53" s="35">
        <v>84000</v>
      </c>
      <c r="E53" s="35">
        <v>70200</v>
      </c>
      <c r="F53" s="35">
        <v>63400</v>
      </c>
      <c r="G53" s="35">
        <v>55200</v>
      </c>
      <c r="H53" s="35">
        <v>462300</v>
      </c>
      <c r="I53" s="35">
        <v>235500</v>
      </c>
      <c r="J53" s="35">
        <v>238300</v>
      </c>
      <c r="K53" s="35">
        <v>32800</v>
      </c>
    </row>
    <row r="54" spans="2:11" x14ac:dyDescent="0.2">
      <c r="B54" s="12" t="s">
        <v>213</v>
      </c>
      <c r="C54" s="35">
        <v>1320</v>
      </c>
      <c r="D54" s="35">
        <v>88900</v>
      </c>
      <c r="E54" s="35">
        <v>72300</v>
      </c>
      <c r="F54" s="35">
        <v>68900</v>
      </c>
      <c r="G54" s="35">
        <v>55900</v>
      </c>
      <c r="H54" s="35">
        <v>552400</v>
      </c>
      <c r="I54" s="35">
        <v>359700</v>
      </c>
      <c r="J54" s="35">
        <v>324000</v>
      </c>
      <c r="K54" s="35">
        <v>49600</v>
      </c>
    </row>
    <row r="55" spans="2:11" x14ac:dyDescent="0.2">
      <c r="B55" s="12" t="s">
        <v>214</v>
      </c>
      <c r="C55" s="35">
        <v>343</v>
      </c>
      <c r="D55" s="35">
        <v>107600</v>
      </c>
      <c r="E55" s="35">
        <v>88800</v>
      </c>
      <c r="F55" s="35">
        <v>83700</v>
      </c>
      <c r="G55" s="35">
        <v>68400</v>
      </c>
      <c r="H55" s="35">
        <v>612200</v>
      </c>
      <c r="I55" s="35">
        <v>315700</v>
      </c>
      <c r="J55" s="35">
        <v>303300</v>
      </c>
      <c r="K55" s="35">
        <v>50600</v>
      </c>
    </row>
    <row r="56" spans="2:11" x14ac:dyDescent="0.2">
      <c r="B56" s="12" t="s">
        <v>215</v>
      </c>
      <c r="C56" s="35">
        <v>1040</v>
      </c>
      <c r="D56" s="35">
        <v>105700</v>
      </c>
      <c r="E56" s="35">
        <v>83400</v>
      </c>
      <c r="F56" s="35">
        <v>82200</v>
      </c>
      <c r="G56" s="35">
        <v>64700</v>
      </c>
      <c r="H56" s="35">
        <v>589300</v>
      </c>
      <c r="I56" s="35">
        <v>358000</v>
      </c>
      <c r="J56" s="35">
        <v>284900</v>
      </c>
      <c r="K56" s="35">
        <v>55300</v>
      </c>
    </row>
    <row r="57" spans="2:11" x14ac:dyDescent="0.2">
      <c r="B57" s="12" t="s">
        <v>511</v>
      </c>
      <c r="C57" s="35">
        <v>1483</v>
      </c>
      <c r="D57" s="35">
        <v>88400</v>
      </c>
      <c r="E57" s="35">
        <v>71300</v>
      </c>
      <c r="F57" s="35">
        <v>68400</v>
      </c>
      <c r="G57" s="35">
        <v>55800</v>
      </c>
      <c r="H57" s="35">
        <v>437300</v>
      </c>
      <c r="I57" s="35">
        <v>179000</v>
      </c>
      <c r="J57" s="35">
        <v>228500</v>
      </c>
      <c r="K57" s="35">
        <v>29100</v>
      </c>
    </row>
    <row r="58" spans="2:11" x14ac:dyDescent="0.2">
      <c r="B58" s="12" t="s">
        <v>216</v>
      </c>
      <c r="C58" s="35">
        <v>1105</v>
      </c>
      <c r="D58" s="35">
        <v>117800</v>
      </c>
      <c r="E58" s="35">
        <v>83500</v>
      </c>
      <c r="F58" s="35">
        <v>92100</v>
      </c>
      <c r="G58" s="35">
        <v>66600</v>
      </c>
      <c r="H58" s="35">
        <v>838700</v>
      </c>
      <c r="I58" s="35">
        <v>322700</v>
      </c>
      <c r="J58" s="35">
        <v>494500</v>
      </c>
      <c r="K58" s="35">
        <v>82000</v>
      </c>
    </row>
    <row r="59" spans="2:11" x14ac:dyDescent="0.2">
      <c r="B59" s="12" t="s">
        <v>217</v>
      </c>
      <c r="C59" s="35">
        <v>1219</v>
      </c>
      <c r="D59" s="35">
        <v>153200</v>
      </c>
      <c r="E59" s="35">
        <v>89400</v>
      </c>
      <c r="F59" s="35">
        <v>124300</v>
      </c>
      <c r="G59" s="35">
        <v>68400</v>
      </c>
      <c r="H59" s="35">
        <v>1459900</v>
      </c>
      <c r="I59" s="35">
        <v>534400</v>
      </c>
      <c r="J59" s="35">
        <v>994300</v>
      </c>
      <c r="K59" s="35">
        <v>143600</v>
      </c>
    </row>
    <row r="60" spans="2:11" x14ac:dyDescent="0.2">
      <c r="B60" s="12" t="s">
        <v>218</v>
      </c>
      <c r="C60" s="35">
        <v>2394</v>
      </c>
      <c r="D60" s="35">
        <v>90100</v>
      </c>
      <c r="E60" s="35">
        <v>70600</v>
      </c>
      <c r="F60" s="35">
        <v>71400</v>
      </c>
      <c r="G60" s="35">
        <v>57200</v>
      </c>
      <c r="H60" s="35">
        <v>490400</v>
      </c>
      <c r="I60" s="35">
        <v>100400</v>
      </c>
      <c r="J60" s="35">
        <v>297500</v>
      </c>
      <c r="K60" s="35">
        <v>29400</v>
      </c>
    </row>
    <row r="61" spans="2:11" x14ac:dyDescent="0.2">
      <c r="B61" s="12" t="s">
        <v>219</v>
      </c>
      <c r="C61" s="35">
        <v>1541</v>
      </c>
      <c r="D61" s="35">
        <v>86500</v>
      </c>
      <c r="E61" s="35">
        <v>69800</v>
      </c>
      <c r="F61" s="35">
        <v>66100</v>
      </c>
      <c r="G61" s="35">
        <v>53700</v>
      </c>
      <c r="H61" s="35">
        <v>470000</v>
      </c>
      <c r="I61" s="35">
        <v>232700</v>
      </c>
      <c r="J61" s="35">
        <v>252200</v>
      </c>
      <c r="K61" s="35">
        <v>41800</v>
      </c>
    </row>
    <row r="62" spans="2:11" x14ac:dyDescent="0.2">
      <c r="B62" s="12" t="s">
        <v>220</v>
      </c>
      <c r="C62" s="35">
        <v>743</v>
      </c>
      <c r="D62" s="35">
        <v>86600</v>
      </c>
      <c r="E62" s="35">
        <v>73900</v>
      </c>
      <c r="F62" s="35">
        <v>66500</v>
      </c>
      <c r="G62" s="35">
        <v>58000</v>
      </c>
      <c r="H62" s="35">
        <v>458300</v>
      </c>
      <c r="I62" s="35">
        <v>300800</v>
      </c>
      <c r="J62" s="35">
        <v>231400</v>
      </c>
      <c r="K62" s="35">
        <v>47300</v>
      </c>
    </row>
    <row r="63" spans="2:11" x14ac:dyDescent="0.2">
      <c r="B63" s="12" t="s">
        <v>221</v>
      </c>
      <c r="C63" s="35">
        <v>240</v>
      </c>
      <c r="D63" s="35">
        <v>84800</v>
      </c>
      <c r="E63" s="35">
        <v>72700</v>
      </c>
      <c r="F63" s="35">
        <v>63700</v>
      </c>
      <c r="G63" s="35">
        <v>54600</v>
      </c>
      <c r="H63" s="35">
        <v>446500</v>
      </c>
      <c r="I63" s="35">
        <v>384200</v>
      </c>
      <c r="J63" s="35">
        <v>197600</v>
      </c>
      <c r="K63" s="35">
        <v>33200</v>
      </c>
    </row>
    <row r="64" spans="2:11" x14ac:dyDescent="0.2">
      <c r="B64" s="12" t="s">
        <v>222</v>
      </c>
      <c r="C64" s="35">
        <v>746</v>
      </c>
      <c r="D64" s="35">
        <v>97100</v>
      </c>
      <c r="E64" s="35">
        <v>79900</v>
      </c>
      <c r="F64" s="35">
        <v>76000</v>
      </c>
      <c r="G64" s="35">
        <v>63200</v>
      </c>
      <c r="H64" s="35">
        <v>601400</v>
      </c>
      <c r="I64" s="35">
        <v>265000</v>
      </c>
      <c r="J64" s="35">
        <v>342800</v>
      </c>
      <c r="K64" s="35">
        <v>59500</v>
      </c>
    </row>
    <row r="65" spans="2:11" x14ac:dyDescent="0.2">
      <c r="B65" s="12" t="s">
        <v>223</v>
      </c>
      <c r="C65" s="35">
        <v>3900</v>
      </c>
      <c r="D65" s="35">
        <v>78400</v>
      </c>
      <c r="E65" s="35">
        <v>66900</v>
      </c>
      <c r="F65" s="35">
        <v>61400</v>
      </c>
      <c r="G65" s="35">
        <v>53700</v>
      </c>
      <c r="H65" s="35">
        <v>356400</v>
      </c>
      <c r="I65" s="35">
        <v>86300</v>
      </c>
      <c r="J65" s="35">
        <v>194700</v>
      </c>
      <c r="K65" s="35">
        <v>25900</v>
      </c>
    </row>
    <row r="66" spans="2:11" x14ac:dyDescent="0.2">
      <c r="B66" s="12" t="s">
        <v>224</v>
      </c>
      <c r="C66" s="35">
        <v>2049</v>
      </c>
      <c r="D66" s="35">
        <v>115800</v>
      </c>
      <c r="E66" s="35">
        <v>78700</v>
      </c>
      <c r="F66" s="35">
        <v>95500</v>
      </c>
      <c r="G66" s="35">
        <v>63400</v>
      </c>
      <c r="H66" s="35">
        <v>805700</v>
      </c>
      <c r="I66" s="35">
        <v>235300</v>
      </c>
      <c r="J66" s="35">
        <v>548500</v>
      </c>
      <c r="K66" s="35">
        <v>89700</v>
      </c>
    </row>
    <row r="67" spans="2:11" x14ac:dyDescent="0.2">
      <c r="B67" s="12" t="s">
        <v>512</v>
      </c>
      <c r="C67" s="35">
        <v>8422</v>
      </c>
      <c r="D67" s="35">
        <v>76200</v>
      </c>
      <c r="E67" s="35">
        <v>61000</v>
      </c>
      <c r="F67" s="35">
        <v>60000</v>
      </c>
      <c r="G67" s="35">
        <v>49100</v>
      </c>
      <c r="H67" s="35">
        <v>394500</v>
      </c>
      <c r="I67" s="35">
        <v>63200</v>
      </c>
      <c r="J67" s="35">
        <v>234400</v>
      </c>
      <c r="K67" s="35">
        <v>22700</v>
      </c>
    </row>
    <row r="68" spans="2:11" x14ac:dyDescent="0.2">
      <c r="B68" s="12" t="s">
        <v>225</v>
      </c>
      <c r="C68" s="35">
        <v>2502</v>
      </c>
      <c r="D68" s="35">
        <v>93400</v>
      </c>
      <c r="E68" s="35">
        <v>74000</v>
      </c>
      <c r="F68" s="35">
        <v>73500</v>
      </c>
      <c r="G68" s="35">
        <v>58500</v>
      </c>
      <c r="H68" s="35">
        <v>584400</v>
      </c>
      <c r="I68" s="35">
        <v>169900</v>
      </c>
      <c r="J68" s="35">
        <v>367700</v>
      </c>
      <c r="K68" s="35">
        <v>51400</v>
      </c>
    </row>
    <row r="69" spans="2:11" s="7" customFormat="1" x14ac:dyDescent="0.2">
      <c r="B69" s="218" t="s">
        <v>226</v>
      </c>
      <c r="C69" s="31">
        <v>27703</v>
      </c>
      <c r="D69" s="31">
        <v>83600</v>
      </c>
      <c r="E69" s="31">
        <v>68700</v>
      </c>
      <c r="F69" s="31">
        <v>65400</v>
      </c>
      <c r="G69" s="31">
        <v>54700</v>
      </c>
      <c r="H69" s="31">
        <v>457000</v>
      </c>
      <c r="I69" s="31">
        <v>147000</v>
      </c>
      <c r="J69" s="31">
        <v>282400</v>
      </c>
      <c r="K69" s="31">
        <v>41900</v>
      </c>
    </row>
    <row r="70" spans="2:11" s="208" customFormat="1" x14ac:dyDescent="0.2">
      <c r="B70" s="12" t="s">
        <v>227</v>
      </c>
      <c r="C70" s="35">
        <v>917</v>
      </c>
      <c r="D70" s="35">
        <v>97500</v>
      </c>
      <c r="E70" s="35">
        <v>76600</v>
      </c>
      <c r="F70" s="35">
        <v>76100</v>
      </c>
      <c r="G70" s="35">
        <v>60400</v>
      </c>
      <c r="H70" s="35">
        <v>619800</v>
      </c>
      <c r="I70" s="35">
        <v>390500</v>
      </c>
      <c r="J70" s="35">
        <v>392000</v>
      </c>
      <c r="K70" s="35">
        <v>79100</v>
      </c>
    </row>
    <row r="71" spans="2:11" x14ac:dyDescent="0.2">
      <c r="B71" s="12" t="s">
        <v>228</v>
      </c>
      <c r="C71" s="35">
        <v>2190</v>
      </c>
      <c r="D71" s="35">
        <v>76500</v>
      </c>
      <c r="E71" s="35">
        <v>67800</v>
      </c>
      <c r="F71" s="35">
        <v>59400</v>
      </c>
      <c r="G71" s="35">
        <v>53600</v>
      </c>
      <c r="H71" s="35">
        <v>287800</v>
      </c>
      <c r="I71" s="35">
        <v>59200</v>
      </c>
      <c r="J71" s="35">
        <v>154500</v>
      </c>
      <c r="K71" s="35">
        <v>15500</v>
      </c>
    </row>
    <row r="72" spans="2:11" x14ac:dyDescent="0.2">
      <c r="B72" s="12" t="s">
        <v>229</v>
      </c>
      <c r="C72" s="35">
        <v>399</v>
      </c>
      <c r="D72" s="35">
        <v>87200</v>
      </c>
      <c r="E72" s="35">
        <v>72900</v>
      </c>
      <c r="F72" s="35">
        <v>65500</v>
      </c>
      <c r="G72" s="35">
        <v>56400</v>
      </c>
      <c r="H72" s="35">
        <v>463400</v>
      </c>
      <c r="I72" s="35">
        <v>374300</v>
      </c>
      <c r="J72" s="35">
        <v>228700</v>
      </c>
      <c r="K72" s="35">
        <v>37500</v>
      </c>
    </row>
    <row r="73" spans="2:11" x14ac:dyDescent="0.2">
      <c r="B73" s="12" t="s">
        <v>577</v>
      </c>
      <c r="C73" s="35">
        <v>902</v>
      </c>
      <c r="D73" s="35">
        <v>87800</v>
      </c>
      <c r="E73" s="35">
        <v>71000</v>
      </c>
      <c r="F73" s="35">
        <v>66500</v>
      </c>
      <c r="G73" s="35">
        <v>55200</v>
      </c>
      <c r="H73" s="35">
        <v>608600</v>
      </c>
      <c r="I73" s="35">
        <v>375300</v>
      </c>
      <c r="J73" s="35">
        <v>353400</v>
      </c>
      <c r="K73" s="35">
        <v>80300</v>
      </c>
    </row>
    <row r="74" spans="2:11" x14ac:dyDescent="0.2">
      <c r="B74" s="12" t="s">
        <v>230</v>
      </c>
      <c r="C74" s="35">
        <v>431</v>
      </c>
      <c r="D74" s="35">
        <v>77800</v>
      </c>
      <c r="E74" s="35">
        <v>66300</v>
      </c>
      <c r="F74" s="35">
        <v>58500</v>
      </c>
      <c r="G74" s="35">
        <v>51100</v>
      </c>
      <c r="H74" s="35">
        <v>435700</v>
      </c>
      <c r="I74" s="35">
        <v>218800</v>
      </c>
      <c r="J74" s="35">
        <v>216100</v>
      </c>
      <c r="K74" s="35">
        <v>51100</v>
      </c>
    </row>
    <row r="75" spans="2:11" x14ac:dyDescent="0.2">
      <c r="B75" s="12" t="s">
        <v>231</v>
      </c>
      <c r="C75" s="35">
        <v>6525</v>
      </c>
      <c r="D75" s="35">
        <v>81600</v>
      </c>
      <c r="E75" s="35">
        <v>65400</v>
      </c>
      <c r="F75" s="35">
        <v>65100</v>
      </c>
      <c r="G75" s="35">
        <v>52700</v>
      </c>
      <c r="H75" s="35">
        <v>443100</v>
      </c>
      <c r="I75" s="35">
        <v>83900</v>
      </c>
      <c r="J75" s="35">
        <v>308700</v>
      </c>
      <c r="K75" s="35">
        <v>38000</v>
      </c>
    </row>
    <row r="76" spans="2:11" x14ac:dyDescent="0.2">
      <c r="B76" s="12" t="s">
        <v>232</v>
      </c>
      <c r="C76" s="35">
        <v>338</v>
      </c>
      <c r="D76" s="35">
        <v>87300</v>
      </c>
      <c r="E76" s="35">
        <v>69200</v>
      </c>
      <c r="F76" s="35">
        <v>66400</v>
      </c>
      <c r="G76" s="35">
        <v>56200</v>
      </c>
      <c r="H76" s="35">
        <v>514900</v>
      </c>
      <c r="I76" s="35">
        <v>375200</v>
      </c>
      <c r="J76" s="35">
        <v>257300</v>
      </c>
      <c r="K76" s="35">
        <v>64000</v>
      </c>
    </row>
    <row r="77" spans="2:11" x14ac:dyDescent="0.2">
      <c r="B77" s="12" t="s">
        <v>233</v>
      </c>
      <c r="C77" s="35">
        <v>154</v>
      </c>
      <c r="D77" s="35">
        <v>89400</v>
      </c>
      <c r="E77" s="35">
        <v>79200</v>
      </c>
      <c r="F77" s="35">
        <v>65600</v>
      </c>
      <c r="G77" s="35">
        <v>60300</v>
      </c>
      <c r="H77" s="35">
        <v>529300</v>
      </c>
      <c r="I77" s="35">
        <v>438400</v>
      </c>
      <c r="J77" s="35">
        <v>230900</v>
      </c>
      <c r="K77" s="35">
        <v>48700</v>
      </c>
    </row>
    <row r="78" spans="2:11" x14ac:dyDescent="0.2">
      <c r="B78" s="12" t="s">
        <v>234</v>
      </c>
      <c r="C78" s="35">
        <v>237</v>
      </c>
      <c r="D78" s="35">
        <v>116000</v>
      </c>
      <c r="E78" s="35">
        <v>87600</v>
      </c>
      <c r="F78" s="35">
        <v>88200</v>
      </c>
      <c r="G78" s="35">
        <v>67500</v>
      </c>
      <c r="H78" s="35">
        <v>714300</v>
      </c>
      <c r="I78" s="35">
        <v>362300</v>
      </c>
      <c r="J78" s="35">
        <v>365100</v>
      </c>
      <c r="K78" s="35">
        <v>64000</v>
      </c>
    </row>
    <row r="79" spans="2:11" x14ac:dyDescent="0.2">
      <c r="B79" s="12" t="s">
        <v>513</v>
      </c>
      <c r="C79" s="35">
        <v>1935</v>
      </c>
      <c r="D79" s="35">
        <v>89200</v>
      </c>
      <c r="E79" s="35">
        <v>72600</v>
      </c>
      <c r="F79" s="35">
        <v>69300</v>
      </c>
      <c r="G79" s="35">
        <v>57600</v>
      </c>
      <c r="H79" s="35">
        <v>474100</v>
      </c>
      <c r="I79" s="35">
        <v>160300</v>
      </c>
      <c r="J79" s="35">
        <v>281900</v>
      </c>
      <c r="K79" s="35">
        <v>38500</v>
      </c>
    </row>
    <row r="80" spans="2:11" x14ac:dyDescent="0.2">
      <c r="B80" s="12" t="s">
        <v>235</v>
      </c>
      <c r="C80" s="35">
        <v>1309</v>
      </c>
      <c r="D80" s="35">
        <v>86600</v>
      </c>
      <c r="E80" s="35">
        <v>72600</v>
      </c>
      <c r="F80" s="35">
        <v>68300</v>
      </c>
      <c r="G80" s="35">
        <v>58500</v>
      </c>
      <c r="H80" s="35">
        <v>449100</v>
      </c>
      <c r="I80" s="35">
        <v>259500</v>
      </c>
      <c r="J80" s="35">
        <v>270100</v>
      </c>
      <c r="K80" s="35">
        <v>53200</v>
      </c>
    </row>
    <row r="81" spans="2:11" x14ac:dyDescent="0.2">
      <c r="B81" s="12" t="s">
        <v>236</v>
      </c>
      <c r="C81" s="35">
        <v>166</v>
      </c>
      <c r="D81" s="35">
        <v>85200</v>
      </c>
      <c r="E81" s="35">
        <v>70100</v>
      </c>
      <c r="F81" s="35">
        <v>66100</v>
      </c>
      <c r="G81" s="35">
        <v>53900</v>
      </c>
      <c r="H81" s="35">
        <v>519100</v>
      </c>
      <c r="I81" s="35">
        <v>375400</v>
      </c>
      <c r="J81" s="35">
        <v>345800</v>
      </c>
      <c r="K81" s="35">
        <v>79400</v>
      </c>
    </row>
    <row r="82" spans="2:11" x14ac:dyDescent="0.2">
      <c r="B82" s="12" t="s">
        <v>237</v>
      </c>
      <c r="C82" s="35">
        <v>228</v>
      </c>
      <c r="D82" s="35">
        <v>86100</v>
      </c>
      <c r="E82" s="35">
        <v>76000</v>
      </c>
      <c r="F82" s="35">
        <v>66700</v>
      </c>
      <c r="G82" s="35">
        <v>60700</v>
      </c>
      <c r="H82" s="35">
        <v>488300</v>
      </c>
      <c r="I82" s="35">
        <v>428900</v>
      </c>
      <c r="J82" s="35">
        <v>253400</v>
      </c>
      <c r="K82" s="35">
        <v>84100</v>
      </c>
    </row>
    <row r="83" spans="2:11" x14ac:dyDescent="0.2">
      <c r="B83" s="12" t="s">
        <v>238</v>
      </c>
      <c r="C83" s="35">
        <v>597</v>
      </c>
      <c r="D83" s="35">
        <v>84700</v>
      </c>
      <c r="E83" s="35">
        <v>72500</v>
      </c>
      <c r="F83" s="35">
        <v>64900</v>
      </c>
      <c r="G83" s="35">
        <v>56900</v>
      </c>
      <c r="H83" s="35">
        <v>395500</v>
      </c>
      <c r="I83" s="35">
        <v>162500</v>
      </c>
      <c r="J83" s="35">
        <v>210400</v>
      </c>
      <c r="K83" s="35">
        <v>33400</v>
      </c>
    </row>
    <row r="84" spans="2:11" x14ac:dyDescent="0.2">
      <c r="B84" s="12" t="s">
        <v>239</v>
      </c>
      <c r="C84" s="35">
        <v>564</v>
      </c>
      <c r="D84" s="35">
        <v>94800</v>
      </c>
      <c r="E84" s="35">
        <v>80200</v>
      </c>
      <c r="F84" s="35">
        <v>74000</v>
      </c>
      <c r="G84" s="35">
        <v>62300</v>
      </c>
      <c r="H84" s="35">
        <v>588300</v>
      </c>
      <c r="I84" s="35">
        <v>446900</v>
      </c>
      <c r="J84" s="35">
        <v>348300</v>
      </c>
      <c r="K84" s="35">
        <v>86000</v>
      </c>
    </row>
    <row r="85" spans="2:11" x14ac:dyDescent="0.2">
      <c r="B85" s="12" t="s">
        <v>240</v>
      </c>
      <c r="C85" s="35">
        <v>804</v>
      </c>
      <c r="D85" s="35">
        <v>84400</v>
      </c>
      <c r="E85" s="35">
        <v>73400</v>
      </c>
      <c r="F85" s="35">
        <v>66900</v>
      </c>
      <c r="G85" s="35">
        <v>58200</v>
      </c>
      <c r="H85" s="35">
        <v>572500</v>
      </c>
      <c r="I85" s="35">
        <v>294300</v>
      </c>
      <c r="J85" s="35">
        <v>381800</v>
      </c>
      <c r="K85" s="35">
        <v>62100</v>
      </c>
    </row>
    <row r="86" spans="2:11" x14ac:dyDescent="0.2">
      <c r="B86" s="12" t="s">
        <v>241</v>
      </c>
      <c r="C86" s="35">
        <v>472</v>
      </c>
      <c r="D86" s="35">
        <v>89600</v>
      </c>
      <c r="E86" s="35">
        <v>74300</v>
      </c>
      <c r="F86" s="35">
        <v>68700</v>
      </c>
      <c r="G86" s="35">
        <v>59000</v>
      </c>
      <c r="H86" s="35">
        <v>518200</v>
      </c>
      <c r="I86" s="35">
        <v>425600</v>
      </c>
      <c r="J86" s="35">
        <v>275500</v>
      </c>
      <c r="K86" s="35">
        <v>85400</v>
      </c>
    </row>
    <row r="87" spans="2:11" x14ac:dyDescent="0.2">
      <c r="B87" s="12" t="s">
        <v>242</v>
      </c>
      <c r="C87" s="35">
        <v>365</v>
      </c>
      <c r="D87" s="35">
        <v>82200</v>
      </c>
      <c r="E87" s="35">
        <v>72300</v>
      </c>
      <c r="F87" s="35">
        <v>63400</v>
      </c>
      <c r="G87" s="35">
        <v>54800</v>
      </c>
      <c r="H87" s="35">
        <v>521100</v>
      </c>
      <c r="I87" s="35">
        <v>280600</v>
      </c>
      <c r="J87" s="35">
        <v>315300</v>
      </c>
      <c r="K87" s="35">
        <v>53600</v>
      </c>
    </row>
    <row r="88" spans="2:11" x14ac:dyDescent="0.2">
      <c r="B88" s="12" t="s">
        <v>605</v>
      </c>
      <c r="C88" s="35">
        <v>1281</v>
      </c>
      <c r="D88" s="35">
        <v>85800</v>
      </c>
      <c r="E88" s="35">
        <v>67300</v>
      </c>
      <c r="F88" s="35">
        <v>66600</v>
      </c>
      <c r="G88" s="35">
        <v>52600</v>
      </c>
      <c r="H88" s="35">
        <v>594600</v>
      </c>
      <c r="I88" s="35">
        <v>280200</v>
      </c>
      <c r="J88" s="35">
        <v>388700</v>
      </c>
      <c r="K88" s="35">
        <v>49800</v>
      </c>
    </row>
    <row r="89" spans="2:11" x14ac:dyDescent="0.2">
      <c r="B89" s="12" t="s">
        <v>243</v>
      </c>
      <c r="C89" s="35">
        <v>702</v>
      </c>
      <c r="D89" s="35">
        <v>76300</v>
      </c>
      <c r="E89" s="35">
        <v>62400</v>
      </c>
      <c r="F89" s="35">
        <v>59700</v>
      </c>
      <c r="G89" s="35">
        <v>50600</v>
      </c>
      <c r="H89" s="35">
        <v>414200</v>
      </c>
      <c r="I89" s="35">
        <v>86400</v>
      </c>
      <c r="J89" s="35">
        <v>255800</v>
      </c>
      <c r="K89" s="35">
        <v>25900</v>
      </c>
    </row>
    <row r="90" spans="2:11" x14ac:dyDescent="0.2">
      <c r="B90" s="12" t="s">
        <v>514</v>
      </c>
      <c r="C90" s="35">
        <v>455</v>
      </c>
      <c r="D90" s="35">
        <v>86200</v>
      </c>
      <c r="E90" s="35">
        <v>74500</v>
      </c>
      <c r="F90" s="35">
        <v>66700</v>
      </c>
      <c r="G90" s="35">
        <v>58300</v>
      </c>
      <c r="H90" s="35">
        <v>533700</v>
      </c>
      <c r="I90" s="35">
        <v>386600</v>
      </c>
      <c r="J90" s="35">
        <v>331000</v>
      </c>
      <c r="K90" s="35">
        <v>97500</v>
      </c>
    </row>
    <row r="91" spans="2:11" x14ac:dyDescent="0.2">
      <c r="B91" s="12" t="s">
        <v>515</v>
      </c>
      <c r="C91" s="35">
        <v>798</v>
      </c>
      <c r="D91" s="35">
        <v>79900</v>
      </c>
      <c r="E91" s="35">
        <v>66400</v>
      </c>
      <c r="F91" s="35">
        <v>61900</v>
      </c>
      <c r="G91" s="35">
        <v>51200</v>
      </c>
      <c r="H91" s="35">
        <v>413700</v>
      </c>
      <c r="I91" s="35">
        <v>125800</v>
      </c>
      <c r="J91" s="35">
        <v>242600</v>
      </c>
      <c r="K91" s="35">
        <v>34400</v>
      </c>
    </row>
    <row r="92" spans="2:11" x14ac:dyDescent="0.2">
      <c r="B92" s="12" t="s">
        <v>244</v>
      </c>
      <c r="C92" s="35">
        <v>1090</v>
      </c>
      <c r="D92" s="35">
        <v>84600</v>
      </c>
      <c r="E92" s="35">
        <v>74000</v>
      </c>
      <c r="F92" s="35">
        <v>66200</v>
      </c>
      <c r="G92" s="35">
        <v>59000</v>
      </c>
      <c r="H92" s="35">
        <v>439400</v>
      </c>
      <c r="I92" s="35">
        <v>250300</v>
      </c>
      <c r="J92" s="35">
        <v>255800</v>
      </c>
      <c r="K92" s="35">
        <v>54200</v>
      </c>
    </row>
    <row r="93" spans="2:11" x14ac:dyDescent="0.2">
      <c r="B93" s="12" t="s">
        <v>245</v>
      </c>
      <c r="C93" s="35">
        <v>828</v>
      </c>
      <c r="D93" s="35">
        <v>86400</v>
      </c>
      <c r="E93" s="35">
        <v>72000</v>
      </c>
      <c r="F93" s="35">
        <v>66200</v>
      </c>
      <c r="G93" s="35">
        <v>55100</v>
      </c>
      <c r="H93" s="35">
        <v>546000</v>
      </c>
      <c r="I93" s="35">
        <v>406600</v>
      </c>
      <c r="J93" s="35">
        <v>294900</v>
      </c>
      <c r="K93" s="35">
        <v>55800</v>
      </c>
    </row>
    <row r="94" spans="2:11" x14ac:dyDescent="0.2">
      <c r="B94" s="12" t="s">
        <v>246</v>
      </c>
      <c r="C94" s="35">
        <v>4016</v>
      </c>
      <c r="D94" s="35">
        <v>78300</v>
      </c>
      <c r="E94" s="35">
        <v>63600</v>
      </c>
      <c r="F94" s="35">
        <v>61800</v>
      </c>
      <c r="G94" s="35">
        <v>51600</v>
      </c>
      <c r="H94" s="35">
        <v>373600</v>
      </c>
      <c r="I94" s="35">
        <v>57500</v>
      </c>
      <c r="J94" s="35">
        <v>240800</v>
      </c>
      <c r="K94" s="35">
        <v>33400</v>
      </c>
    </row>
    <row r="95" spans="2:11" s="7" customFormat="1" x14ac:dyDescent="0.2">
      <c r="B95" s="218" t="s">
        <v>247</v>
      </c>
      <c r="C95" s="31">
        <v>22237</v>
      </c>
      <c r="D95" s="31">
        <v>74700</v>
      </c>
      <c r="E95" s="31">
        <v>62200</v>
      </c>
      <c r="F95" s="31">
        <v>58000</v>
      </c>
      <c r="G95" s="31">
        <v>49200</v>
      </c>
      <c r="H95" s="31">
        <v>415800</v>
      </c>
      <c r="I95" s="31">
        <v>150700</v>
      </c>
      <c r="J95" s="31">
        <v>246600</v>
      </c>
      <c r="K95" s="31">
        <v>32300</v>
      </c>
    </row>
    <row r="96" spans="2:11" x14ac:dyDescent="0.2">
      <c r="B96" s="12" t="s">
        <v>248</v>
      </c>
      <c r="C96" s="35">
        <v>1795</v>
      </c>
      <c r="D96" s="35">
        <v>86800</v>
      </c>
      <c r="E96" s="35">
        <v>67000</v>
      </c>
      <c r="F96" s="35">
        <v>66400</v>
      </c>
      <c r="G96" s="35">
        <v>52100</v>
      </c>
      <c r="H96" s="35">
        <v>589400</v>
      </c>
      <c r="I96" s="35">
        <v>302600</v>
      </c>
      <c r="J96" s="35">
        <v>356800</v>
      </c>
      <c r="K96" s="35">
        <v>49200</v>
      </c>
    </row>
    <row r="97" spans="2:11" s="208" customFormat="1" x14ac:dyDescent="0.2">
      <c r="B97" s="12" t="s">
        <v>249</v>
      </c>
      <c r="C97" s="35">
        <v>661</v>
      </c>
      <c r="D97" s="35">
        <v>89400</v>
      </c>
      <c r="E97" s="35">
        <v>72000</v>
      </c>
      <c r="F97" s="35">
        <v>67500</v>
      </c>
      <c r="G97" s="35">
        <v>56000</v>
      </c>
      <c r="H97" s="35">
        <v>708500</v>
      </c>
      <c r="I97" s="35">
        <v>355300</v>
      </c>
      <c r="J97" s="35">
        <v>421600</v>
      </c>
      <c r="K97" s="35">
        <v>95500</v>
      </c>
    </row>
    <row r="98" spans="2:11" x14ac:dyDescent="0.2">
      <c r="B98" s="12" t="s">
        <v>516</v>
      </c>
      <c r="C98" s="35">
        <v>556</v>
      </c>
      <c r="D98" s="35">
        <v>68700</v>
      </c>
      <c r="E98" s="35">
        <v>62000</v>
      </c>
      <c r="F98" s="35">
        <v>53200</v>
      </c>
      <c r="G98" s="35">
        <v>47300</v>
      </c>
      <c r="H98" s="35">
        <v>331900</v>
      </c>
      <c r="I98" s="35">
        <v>100200</v>
      </c>
      <c r="J98" s="35">
        <v>186000</v>
      </c>
      <c r="K98" s="35">
        <v>17800</v>
      </c>
    </row>
    <row r="99" spans="2:11" x14ac:dyDescent="0.2">
      <c r="B99" s="12" t="s">
        <v>250</v>
      </c>
      <c r="C99" s="35">
        <v>663</v>
      </c>
      <c r="D99" s="35">
        <v>83200</v>
      </c>
      <c r="E99" s="35">
        <v>66600</v>
      </c>
      <c r="F99" s="35">
        <v>64100</v>
      </c>
      <c r="G99" s="35">
        <v>53700</v>
      </c>
      <c r="H99" s="35">
        <v>556700</v>
      </c>
      <c r="I99" s="35">
        <v>297700</v>
      </c>
      <c r="J99" s="35">
        <v>362900</v>
      </c>
      <c r="K99" s="35">
        <v>57800</v>
      </c>
    </row>
    <row r="100" spans="2:11" x14ac:dyDescent="0.2">
      <c r="B100" s="12" t="s">
        <v>251</v>
      </c>
      <c r="C100" s="35">
        <v>1148</v>
      </c>
      <c r="D100" s="35">
        <v>73100</v>
      </c>
      <c r="E100" s="35">
        <v>63000</v>
      </c>
      <c r="F100" s="35">
        <v>57200</v>
      </c>
      <c r="G100" s="35">
        <v>50200</v>
      </c>
      <c r="H100" s="35">
        <v>429700</v>
      </c>
      <c r="I100" s="35">
        <v>248900</v>
      </c>
      <c r="J100" s="35">
        <v>248400</v>
      </c>
      <c r="K100" s="35">
        <v>41600</v>
      </c>
    </row>
    <row r="101" spans="2:11" x14ac:dyDescent="0.2">
      <c r="B101" s="12" t="s">
        <v>252</v>
      </c>
      <c r="C101" s="35">
        <v>771</v>
      </c>
      <c r="D101" s="35">
        <v>76200</v>
      </c>
      <c r="E101" s="35">
        <v>64500</v>
      </c>
      <c r="F101" s="35">
        <v>59000</v>
      </c>
      <c r="G101" s="35">
        <v>51700</v>
      </c>
      <c r="H101" s="35">
        <v>358700</v>
      </c>
      <c r="I101" s="35">
        <v>69300</v>
      </c>
      <c r="J101" s="35">
        <v>207900</v>
      </c>
      <c r="K101" s="35">
        <v>34800</v>
      </c>
    </row>
    <row r="102" spans="2:11" x14ac:dyDescent="0.2">
      <c r="B102" s="12" t="s">
        <v>517</v>
      </c>
      <c r="C102" s="35">
        <v>243</v>
      </c>
      <c r="D102" s="35">
        <v>89900</v>
      </c>
      <c r="E102" s="35">
        <v>71900</v>
      </c>
      <c r="F102" s="35">
        <v>68800</v>
      </c>
      <c r="G102" s="35">
        <v>58500</v>
      </c>
      <c r="H102" s="35">
        <v>635500</v>
      </c>
      <c r="I102" s="35">
        <v>415800</v>
      </c>
      <c r="J102" s="35">
        <v>381700</v>
      </c>
      <c r="K102" s="35">
        <v>112200</v>
      </c>
    </row>
    <row r="103" spans="2:11" x14ac:dyDescent="0.2">
      <c r="B103" s="12" t="s">
        <v>253</v>
      </c>
      <c r="C103" s="35">
        <v>432</v>
      </c>
      <c r="D103" s="35">
        <v>80500</v>
      </c>
      <c r="E103" s="35">
        <v>67600</v>
      </c>
      <c r="F103" s="35">
        <v>61600</v>
      </c>
      <c r="G103" s="35">
        <v>54100</v>
      </c>
      <c r="H103" s="35">
        <v>438700</v>
      </c>
      <c r="I103" s="35">
        <v>323600</v>
      </c>
      <c r="J103" s="35">
        <v>222300</v>
      </c>
      <c r="K103" s="35">
        <v>54300</v>
      </c>
    </row>
    <row r="104" spans="2:11" x14ac:dyDescent="0.2">
      <c r="B104" s="12" t="s">
        <v>254</v>
      </c>
      <c r="C104" s="35">
        <v>3157</v>
      </c>
      <c r="D104" s="35">
        <v>69200</v>
      </c>
      <c r="E104" s="35">
        <v>58400</v>
      </c>
      <c r="F104" s="35">
        <v>54400</v>
      </c>
      <c r="G104" s="35">
        <v>46900</v>
      </c>
      <c r="H104" s="35">
        <v>347300</v>
      </c>
      <c r="I104" s="35">
        <v>60400</v>
      </c>
      <c r="J104" s="35">
        <v>210900</v>
      </c>
      <c r="K104" s="35">
        <v>17900</v>
      </c>
    </row>
    <row r="105" spans="2:11" x14ac:dyDescent="0.2">
      <c r="B105" s="12" t="s">
        <v>255</v>
      </c>
      <c r="C105" s="35">
        <v>1424</v>
      </c>
      <c r="D105" s="35">
        <v>76200</v>
      </c>
      <c r="E105" s="35">
        <v>64500</v>
      </c>
      <c r="F105" s="35">
        <v>59400</v>
      </c>
      <c r="G105" s="35">
        <v>50100</v>
      </c>
      <c r="H105" s="35">
        <v>427700</v>
      </c>
      <c r="I105" s="35">
        <v>199200</v>
      </c>
      <c r="J105" s="35">
        <v>253100</v>
      </c>
      <c r="K105" s="35">
        <v>39500</v>
      </c>
    </row>
    <row r="106" spans="2:11" x14ac:dyDescent="0.2">
      <c r="B106" s="12" t="s">
        <v>518</v>
      </c>
      <c r="C106" s="35">
        <v>4558</v>
      </c>
      <c r="D106" s="35">
        <v>67500</v>
      </c>
      <c r="E106" s="35">
        <v>58000</v>
      </c>
      <c r="F106" s="35">
        <v>53000</v>
      </c>
      <c r="G106" s="35">
        <v>46500</v>
      </c>
      <c r="H106" s="35">
        <v>343600</v>
      </c>
      <c r="I106" s="35">
        <v>62300</v>
      </c>
      <c r="J106" s="35">
        <v>212500</v>
      </c>
      <c r="K106" s="35">
        <v>18300</v>
      </c>
    </row>
    <row r="107" spans="2:11" x14ac:dyDescent="0.2">
      <c r="B107" s="12" t="s">
        <v>256</v>
      </c>
      <c r="C107" s="35">
        <v>470</v>
      </c>
      <c r="D107" s="35">
        <v>71600</v>
      </c>
      <c r="E107" s="35">
        <v>59800</v>
      </c>
      <c r="F107" s="35">
        <v>54100</v>
      </c>
      <c r="G107" s="35">
        <v>46000</v>
      </c>
      <c r="H107" s="35">
        <v>380100</v>
      </c>
      <c r="I107" s="35">
        <v>262000</v>
      </c>
      <c r="J107" s="35">
        <v>196300</v>
      </c>
      <c r="K107" s="35">
        <v>38600</v>
      </c>
    </row>
    <row r="108" spans="2:11" x14ac:dyDescent="0.2">
      <c r="B108" s="12" t="s">
        <v>257</v>
      </c>
      <c r="C108" s="35">
        <v>666</v>
      </c>
      <c r="D108" s="35">
        <v>76000</v>
      </c>
      <c r="E108" s="35">
        <v>59700</v>
      </c>
      <c r="F108" s="35">
        <v>55400</v>
      </c>
      <c r="G108" s="35">
        <v>46100</v>
      </c>
      <c r="H108" s="35">
        <v>392100</v>
      </c>
      <c r="I108" s="35">
        <v>251400</v>
      </c>
      <c r="J108" s="35">
        <v>203900</v>
      </c>
      <c r="K108" s="35">
        <v>50400</v>
      </c>
    </row>
    <row r="109" spans="2:11" x14ac:dyDescent="0.2">
      <c r="B109" s="12" t="s">
        <v>258</v>
      </c>
      <c r="C109" s="35">
        <v>2460</v>
      </c>
      <c r="D109" s="35">
        <v>80700</v>
      </c>
      <c r="E109" s="35">
        <v>65900</v>
      </c>
      <c r="F109" s="35">
        <v>63300</v>
      </c>
      <c r="G109" s="35">
        <v>52900</v>
      </c>
      <c r="H109" s="35">
        <v>439700</v>
      </c>
      <c r="I109" s="35">
        <v>150500</v>
      </c>
      <c r="J109" s="35">
        <v>254400</v>
      </c>
      <c r="K109" s="35">
        <v>39500</v>
      </c>
    </row>
    <row r="110" spans="2:11" x14ac:dyDescent="0.2">
      <c r="B110" s="12" t="s">
        <v>519</v>
      </c>
      <c r="C110" s="35">
        <v>873</v>
      </c>
      <c r="D110" s="35">
        <v>72600</v>
      </c>
      <c r="E110" s="35">
        <v>62900</v>
      </c>
      <c r="F110" s="35">
        <v>56500</v>
      </c>
      <c r="G110" s="35">
        <v>49200</v>
      </c>
      <c r="H110" s="35">
        <v>356600</v>
      </c>
      <c r="I110" s="35">
        <v>162400</v>
      </c>
      <c r="J110" s="35">
        <v>190100</v>
      </c>
      <c r="K110" s="35">
        <v>30800</v>
      </c>
    </row>
    <row r="111" spans="2:11" x14ac:dyDescent="0.2">
      <c r="B111" s="12" t="s">
        <v>259</v>
      </c>
      <c r="C111" s="35">
        <v>1616</v>
      </c>
      <c r="D111" s="35">
        <v>71100</v>
      </c>
      <c r="E111" s="35">
        <v>60300</v>
      </c>
      <c r="F111" s="35">
        <v>55400</v>
      </c>
      <c r="G111" s="35">
        <v>46800</v>
      </c>
      <c r="H111" s="35">
        <v>359700</v>
      </c>
      <c r="I111" s="35">
        <v>155100</v>
      </c>
      <c r="J111" s="35">
        <v>217100</v>
      </c>
      <c r="K111" s="35">
        <v>27300</v>
      </c>
    </row>
    <row r="112" spans="2:11" x14ac:dyDescent="0.2">
      <c r="B112" s="12" t="s">
        <v>260</v>
      </c>
      <c r="C112" s="35">
        <v>744</v>
      </c>
      <c r="D112" s="35">
        <v>77500</v>
      </c>
      <c r="E112" s="35">
        <v>64900</v>
      </c>
      <c r="F112" s="35">
        <v>60500</v>
      </c>
      <c r="G112" s="35">
        <v>52000</v>
      </c>
      <c r="H112" s="35">
        <v>493300</v>
      </c>
      <c r="I112" s="35">
        <v>307400</v>
      </c>
      <c r="J112" s="35">
        <v>296700</v>
      </c>
      <c r="K112" s="35">
        <v>51100</v>
      </c>
    </row>
    <row r="113" spans="2:11" s="7" customFormat="1" x14ac:dyDescent="0.2">
      <c r="B113" s="218" t="s">
        <v>261</v>
      </c>
      <c r="C113" s="31">
        <v>17168</v>
      </c>
      <c r="D113" s="31">
        <v>84100</v>
      </c>
      <c r="E113" s="31">
        <v>70400</v>
      </c>
      <c r="F113" s="31">
        <v>64800</v>
      </c>
      <c r="G113" s="31">
        <v>55300</v>
      </c>
      <c r="H113" s="31">
        <v>455100</v>
      </c>
      <c r="I113" s="31">
        <v>250700</v>
      </c>
      <c r="J113" s="31">
        <v>254000</v>
      </c>
      <c r="K113" s="31">
        <v>47200</v>
      </c>
    </row>
    <row r="114" spans="2:11" x14ac:dyDescent="0.2">
      <c r="B114" s="12" t="s">
        <v>262</v>
      </c>
      <c r="C114" s="35">
        <v>1243</v>
      </c>
      <c r="D114" s="35">
        <v>83200</v>
      </c>
      <c r="E114" s="35">
        <v>71700</v>
      </c>
      <c r="F114" s="35">
        <v>64000</v>
      </c>
      <c r="G114" s="35">
        <v>56400</v>
      </c>
      <c r="H114" s="35">
        <v>420900</v>
      </c>
      <c r="I114" s="35">
        <v>243800</v>
      </c>
      <c r="J114" s="35">
        <v>225300</v>
      </c>
      <c r="K114" s="35">
        <v>35500</v>
      </c>
    </row>
    <row r="115" spans="2:11" s="208" customFormat="1" x14ac:dyDescent="0.2">
      <c r="B115" s="12" t="s">
        <v>263</v>
      </c>
      <c r="C115" s="35">
        <v>2923</v>
      </c>
      <c r="D115" s="35">
        <v>83000</v>
      </c>
      <c r="E115" s="35">
        <v>67200</v>
      </c>
      <c r="F115" s="35">
        <v>64900</v>
      </c>
      <c r="G115" s="35">
        <v>53600</v>
      </c>
      <c r="H115" s="35">
        <v>415200</v>
      </c>
      <c r="I115" s="35">
        <v>95200</v>
      </c>
      <c r="J115" s="35">
        <v>246200</v>
      </c>
      <c r="K115" s="35">
        <v>32100</v>
      </c>
    </row>
    <row r="116" spans="2:11" x14ac:dyDescent="0.2">
      <c r="B116" s="12" t="s">
        <v>264</v>
      </c>
      <c r="C116" s="35">
        <v>558</v>
      </c>
      <c r="D116" s="35">
        <v>81800</v>
      </c>
      <c r="E116" s="35">
        <v>70400</v>
      </c>
      <c r="F116" s="35">
        <v>62000</v>
      </c>
      <c r="G116" s="35">
        <v>55700</v>
      </c>
      <c r="H116" s="35">
        <v>525600</v>
      </c>
      <c r="I116" s="35">
        <v>375400</v>
      </c>
      <c r="J116" s="35">
        <v>286200</v>
      </c>
      <c r="K116" s="35">
        <v>88500</v>
      </c>
    </row>
    <row r="117" spans="2:11" x14ac:dyDescent="0.2">
      <c r="B117" s="12" t="s">
        <v>265</v>
      </c>
      <c r="C117" s="35">
        <v>2007</v>
      </c>
      <c r="D117" s="35">
        <v>92600</v>
      </c>
      <c r="E117" s="35">
        <v>73800</v>
      </c>
      <c r="F117" s="35">
        <v>71700</v>
      </c>
      <c r="G117" s="35">
        <v>57500</v>
      </c>
      <c r="H117" s="35">
        <v>527100</v>
      </c>
      <c r="I117" s="35">
        <v>304000</v>
      </c>
      <c r="J117" s="35">
        <v>302600</v>
      </c>
      <c r="K117" s="35">
        <v>59400</v>
      </c>
    </row>
    <row r="118" spans="2:11" x14ac:dyDescent="0.2">
      <c r="B118" s="12" t="s">
        <v>266</v>
      </c>
      <c r="C118" s="35">
        <v>778</v>
      </c>
      <c r="D118" s="35">
        <v>88600</v>
      </c>
      <c r="E118" s="35">
        <v>73700</v>
      </c>
      <c r="F118" s="35">
        <v>68600</v>
      </c>
      <c r="G118" s="35">
        <v>57500</v>
      </c>
      <c r="H118" s="35">
        <v>524300</v>
      </c>
      <c r="I118" s="35">
        <v>370700</v>
      </c>
      <c r="J118" s="35">
        <v>275900</v>
      </c>
      <c r="K118" s="35">
        <v>57700</v>
      </c>
    </row>
    <row r="119" spans="2:11" x14ac:dyDescent="0.2">
      <c r="B119" s="12" t="s">
        <v>267</v>
      </c>
      <c r="C119" s="35">
        <v>537</v>
      </c>
      <c r="D119" s="35">
        <v>73000</v>
      </c>
      <c r="E119" s="35">
        <v>63000</v>
      </c>
      <c r="F119" s="35">
        <v>55400</v>
      </c>
      <c r="G119" s="35">
        <v>49100</v>
      </c>
      <c r="H119" s="35">
        <v>365100</v>
      </c>
      <c r="I119" s="35">
        <v>208700</v>
      </c>
      <c r="J119" s="35">
        <v>172700</v>
      </c>
      <c r="K119" s="35">
        <v>26500</v>
      </c>
    </row>
    <row r="120" spans="2:11" x14ac:dyDescent="0.2">
      <c r="B120" s="12" t="s">
        <v>268</v>
      </c>
      <c r="C120" s="35">
        <v>1423</v>
      </c>
      <c r="D120" s="35">
        <v>85800</v>
      </c>
      <c r="E120" s="35">
        <v>75000</v>
      </c>
      <c r="F120" s="35">
        <v>66200</v>
      </c>
      <c r="G120" s="35">
        <v>57600</v>
      </c>
      <c r="H120" s="35">
        <v>520600</v>
      </c>
      <c r="I120" s="35">
        <v>335800</v>
      </c>
      <c r="J120" s="35">
        <v>309100</v>
      </c>
      <c r="K120" s="35">
        <v>67300</v>
      </c>
    </row>
    <row r="121" spans="2:11" x14ac:dyDescent="0.2">
      <c r="B121" s="12" t="s">
        <v>269</v>
      </c>
      <c r="C121" s="35">
        <v>1771</v>
      </c>
      <c r="D121" s="35">
        <v>79400</v>
      </c>
      <c r="E121" s="35">
        <v>67500</v>
      </c>
      <c r="F121" s="35">
        <v>61900</v>
      </c>
      <c r="G121" s="35">
        <v>54200</v>
      </c>
      <c r="H121" s="35">
        <v>421300</v>
      </c>
      <c r="I121" s="35">
        <v>177100</v>
      </c>
      <c r="J121" s="35">
        <v>260100</v>
      </c>
      <c r="K121" s="35">
        <v>43000</v>
      </c>
    </row>
    <row r="122" spans="2:11" x14ac:dyDescent="0.2">
      <c r="B122" s="12" t="s">
        <v>435</v>
      </c>
      <c r="C122" s="35">
        <v>1093</v>
      </c>
      <c r="D122" s="35">
        <v>81400</v>
      </c>
      <c r="E122" s="35">
        <v>69500</v>
      </c>
      <c r="F122" s="35">
        <v>61900</v>
      </c>
      <c r="G122" s="35">
        <v>54100</v>
      </c>
      <c r="H122" s="35">
        <v>492500</v>
      </c>
      <c r="I122" s="35">
        <v>338000</v>
      </c>
      <c r="J122" s="35">
        <v>281900</v>
      </c>
      <c r="K122" s="35">
        <v>74500</v>
      </c>
    </row>
    <row r="123" spans="2:11" x14ac:dyDescent="0.2">
      <c r="B123" s="12" t="s">
        <v>520</v>
      </c>
      <c r="C123" s="35">
        <v>514</v>
      </c>
      <c r="D123" s="35">
        <v>86900</v>
      </c>
      <c r="E123" s="35">
        <v>73200</v>
      </c>
      <c r="F123" s="35">
        <v>67500</v>
      </c>
      <c r="G123" s="35">
        <v>57200</v>
      </c>
      <c r="H123" s="35">
        <v>455500</v>
      </c>
      <c r="I123" s="35">
        <v>231200</v>
      </c>
      <c r="J123" s="35">
        <v>287100</v>
      </c>
      <c r="K123" s="35">
        <v>37900</v>
      </c>
    </row>
    <row r="124" spans="2:11" x14ac:dyDescent="0.2">
      <c r="B124" s="12" t="s">
        <v>270</v>
      </c>
      <c r="C124" s="35">
        <v>311</v>
      </c>
      <c r="D124" s="35">
        <v>81900</v>
      </c>
      <c r="E124" s="35">
        <v>69300</v>
      </c>
      <c r="F124" s="35">
        <v>62000</v>
      </c>
      <c r="G124" s="35">
        <v>51900</v>
      </c>
      <c r="H124" s="35">
        <v>417800</v>
      </c>
      <c r="I124" s="35">
        <v>333100</v>
      </c>
      <c r="J124" s="35">
        <v>204000</v>
      </c>
      <c r="K124" s="35">
        <v>62700</v>
      </c>
    </row>
    <row r="125" spans="2:11" x14ac:dyDescent="0.2">
      <c r="B125" s="12" t="s">
        <v>271</v>
      </c>
      <c r="C125" s="35">
        <v>514</v>
      </c>
      <c r="D125" s="35">
        <v>86600</v>
      </c>
      <c r="E125" s="35">
        <v>74400</v>
      </c>
      <c r="F125" s="35">
        <v>66300</v>
      </c>
      <c r="G125" s="35">
        <v>56500</v>
      </c>
      <c r="H125" s="35">
        <v>480400</v>
      </c>
      <c r="I125" s="35">
        <v>384700</v>
      </c>
      <c r="J125" s="35">
        <v>253000</v>
      </c>
      <c r="K125" s="35">
        <v>65700</v>
      </c>
    </row>
    <row r="126" spans="2:11" x14ac:dyDescent="0.2">
      <c r="B126" s="12" t="s">
        <v>272</v>
      </c>
      <c r="C126" s="35">
        <v>379</v>
      </c>
      <c r="D126" s="35">
        <v>76700</v>
      </c>
      <c r="E126" s="35">
        <v>66300</v>
      </c>
      <c r="F126" s="35">
        <v>58400</v>
      </c>
      <c r="G126" s="35">
        <v>50500</v>
      </c>
      <c r="H126" s="35">
        <v>418000</v>
      </c>
      <c r="I126" s="35">
        <v>280300</v>
      </c>
      <c r="J126" s="35">
        <v>211600</v>
      </c>
      <c r="K126" s="35">
        <v>40600</v>
      </c>
    </row>
    <row r="127" spans="2:11" x14ac:dyDescent="0.2">
      <c r="B127" s="12" t="s">
        <v>273</v>
      </c>
      <c r="C127" s="35">
        <v>800</v>
      </c>
      <c r="D127" s="35">
        <v>85700</v>
      </c>
      <c r="E127" s="35">
        <v>75800</v>
      </c>
      <c r="F127" s="35">
        <v>64900</v>
      </c>
      <c r="G127" s="35">
        <v>58000</v>
      </c>
      <c r="H127" s="35">
        <v>375500</v>
      </c>
      <c r="I127" s="35">
        <v>231900</v>
      </c>
      <c r="J127" s="35">
        <v>181000</v>
      </c>
      <c r="K127" s="35">
        <v>29100</v>
      </c>
    </row>
    <row r="128" spans="2:11" x14ac:dyDescent="0.2">
      <c r="B128" s="12" t="s">
        <v>274</v>
      </c>
      <c r="C128" s="35">
        <v>464</v>
      </c>
      <c r="D128" s="35">
        <v>87800</v>
      </c>
      <c r="E128" s="35">
        <v>75100</v>
      </c>
      <c r="F128" s="35">
        <v>66300</v>
      </c>
      <c r="G128" s="35">
        <v>60300</v>
      </c>
      <c r="H128" s="35">
        <v>429500</v>
      </c>
      <c r="I128" s="35">
        <v>334700</v>
      </c>
      <c r="J128" s="35">
        <v>183700</v>
      </c>
      <c r="K128" s="35">
        <v>24500</v>
      </c>
    </row>
    <row r="129" spans="2:11" x14ac:dyDescent="0.2">
      <c r="B129" s="12" t="s">
        <v>275</v>
      </c>
      <c r="C129" s="35">
        <v>687</v>
      </c>
      <c r="D129" s="35">
        <v>84300</v>
      </c>
      <c r="E129" s="35">
        <v>70100</v>
      </c>
      <c r="F129" s="35">
        <v>64700</v>
      </c>
      <c r="G129" s="35">
        <v>54900</v>
      </c>
      <c r="H129" s="35">
        <v>456200</v>
      </c>
      <c r="I129" s="35">
        <v>290600</v>
      </c>
      <c r="J129" s="35">
        <v>241300</v>
      </c>
      <c r="K129" s="35">
        <v>45100</v>
      </c>
    </row>
    <row r="130" spans="2:11" x14ac:dyDescent="0.2">
      <c r="B130" s="12" t="s">
        <v>276</v>
      </c>
      <c r="C130" s="35">
        <v>530</v>
      </c>
      <c r="D130" s="35">
        <v>81900</v>
      </c>
      <c r="E130" s="35">
        <v>67800</v>
      </c>
      <c r="F130" s="35">
        <v>61700</v>
      </c>
      <c r="G130" s="35">
        <v>54700</v>
      </c>
      <c r="H130" s="35">
        <v>466800</v>
      </c>
      <c r="I130" s="35">
        <v>300300</v>
      </c>
      <c r="J130" s="35">
        <v>244900</v>
      </c>
      <c r="K130" s="35">
        <v>69300</v>
      </c>
    </row>
    <row r="131" spans="2:11" x14ac:dyDescent="0.2">
      <c r="B131" s="12" t="s">
        <v>277</v>
      </c>
      <c r="C131" s="35">
        <v>636</v>
      </c>
      <c r="D131" s="35">
        <v>82600</v>
      </c>
      <c r="E131" s="35">
        <v>70100</v>
      </c>
      <c r="F131" s="35">
        <v>62400</v>
      </c>
      <c r="G131" s="35">
        <v>54100</v>
      </c>
      <c r="H131" s="35">
        <v>418900</v>
      </c>
      <c r="I131" s="35">
        <v>261500</v>
      </c>
      <c r="J131" s="35">
        <v>207500</v>
      </c>
      <c r="K131" s="35">
        <v>29400</v>
      </c>
    </row>
    <row r="132" spans="2:11" s="7" customFormat="1" x14ac:dyDescent="0.2">
      <c r="B132" s="218" t="s">
        <v>278</v>
      </c>
      <c r="C132" s="31">
        <v>32410</v>
      </c>
      <c r="D132" s="31">
        <v>85800</v>
      </c>
      <c r="E132" s="31">
        <v>69500</v>
      </c>
      <c r="F132" s="31">
        <v>67100</v>
      </c>
      <c r="G132" s="31">
        <v>55000</v>
      </c>
      <c r="H132" s="31">
        <v>542400</v>
      </c>
      <c r="I132" s="31">
        <v>176300</v>
      </c>
      <c r="J132" s="31">
        <v>345700</v>
      </c>
      <c r="K132" s="31">
        <v>41100</v>
      </c>
    </row>
    <row r="133" spans="2:11" x14ac:dyDescent="0.2">
      <c r="B133" s="12" t="s">
        <v>279</v>
      </c>
      <c r="C133" s="35">
        <v>384</v>
      </c>
      <c r="D133" s="35">
        <v>91200</v>
      </c>
      <c r="E133" s="35">
        <v>76200</v>
      </c>
      <c r="F133" s="35">
        <v>70300</v>
      </c>
      <c r="G133" s="35">
        <v>60600</v>
      </c>
      <c r="H133" s="35">
        <v>535200</v>
      </c>
      <c r="I133" s="35">
        <v>405100</v>
      </c>
      <c r="J133" s="35">
        <v>305500</v>
      </c>
      <c r="K133" s="35">
        <v>64500</v>
      </c>
    </row>
    <row r="134" spans="2:11" s="217" customFormat="1" x14ac:dyDescent="0.2">
      <c r="B134" s="12" t="s">
        <v>280</v>
      </c>
      <c r="C134" s="35">
        <v>798</v>
      </c>
      <c r="D134" s="35">
        <v>87900</v>
      </c>
      <c r="E134" s="35">
        <v>70900</v>
      </c>
      <c r="F134" s="35">
        <v>66500</v>
      </c>
      <c r="G134" s="35">
        <v>55300</v>
      </c>
      <c r="H134" s="35">
        <v>564800</v>
      </c>
      <c r="I134" s="35">
        <v>389000</v>
      </c>
      <c r="J134" s="35">
        <v>304100</v>
      </c>
      <c r="K134" s="35">
        <v>61900</v>
      </c>
    </row>
    <row r="135" spans="2:11" x14ac:dyDescent="0.2">
      <c r="B135" s="12" t="s">
        <v>281</v>
      </c>
      <c r="C135" s="35">
        <v>392</v>
      </c>
      <c r="D135" s="35">
        <v>84200</v>
      </c>
      <c r="E135" s="35">
        <v>75100</v>
      </c>
      <c r="F135" s="35">
        <v>64600</v>
      </c>
      <c r="G135" s="35">
        <v>57700</v>
      </c>
      <c r="H135" s="35">
        <v>402500</v>
      </c>
      <c r="I135" s="35">
        <v>273400</v>
      </c>
      <c r="J135" s="35">
        <v>184500</v>
      </c>
      <c r="K135" s="35">
        <v>32900</v>
      </c>
    </row>
    <row r="136" spans="2:11" x14ac:dyDescent="0.2">
      <c r="B136" s="12" t="s">
        <v>282</v>
      </c>
      <c r="C136" s="35">
        <v>1142</v>
      </c>
      <c r="D136" s="35">
        <v>88100</v>
      </c>
      <c r="E136" s="35">
        <v>75300</v>
      </c>
      <c r="F136" s="35">
        <v>67500</v>
      </c>
      <c r="G136" s="35">
        <v>56600</v>
      </c>
      <c r="H136" s="35">
        <v>480600</v>
      </c>
      <c r="I136" s="35">
        <v>320800</v>
      </c>
      <c r="J136" s="35">
        <v>255800</v>
      </c>
      <c r="K136" s="35">
        <v>40800</v>
      </c>
    </row>
    <row r="137" spans="2:11" x14ac:dyDescent="0.2">
      <c r="B137" s="12" t="s">
        <v>283</v>
      </c>
      <c r="C137" s="35">
        <v>751</v>
      </c>
      <c r="D137" s="35">
        <v>87900</v>
      </c>
      <c r="E137" s="35">
        <v>71800</v>
      </c>
      <c r="F137" s="35">
        <v>68000</v>
      </c>
      <c r="G137" s="35">
        <v>55800</v>
      </c>
      <c r="H137" s="35">
        <v>520600</v>
      </c>
      <c r="I137" s="35">
        <v>347300</v>
      </c>
      <c r="J137" s="35">
        <v>295100</v>
      </c>
      <c r="K137" s="35">
        <v>65400</v>
      </c>
    </row>
    <row r="138" spans="2:11" x14ac:dyDescent="0.2">
      <c r="B138" s="12" t="s">
        <v>284</v>
      </c>
      <c r="C138" s="35">
        <v>1105</v>
      </c>
      <c r="D138" s="35">
        <v>77000</v>
      </c>
      <c r="E138" s="35">
        <v>63700</v>
      </c>
      <c r="F138" s="35">
        <v>58400</v>
      </c>
      <c r="G138" s="35">
        <v>49500</v>
      </c>
      <c r="H138" s="35">
        <v>428700</v>
      </c>
      <c r="I138" s="35">
        <v>123300</v>
      </c>
      <c r="J138" s="35">
        <v>227600</v>
      </c>
      <c r="K138" s="35">
        <v>35600</v>
      </c>
    </row>
    <row r="139" spans="2:11" x14ac:dyDescent="0.2">
      <c r="B139" s="12" t="s">
        <v>285</v>
      </c>
      <c r="C139" s="35">
        <v>491</v>
      </c>
      <c r="D139" s="35">
        <v>69900</v>
      </c>
      <c r="E139" s="35">
        <v>63100</v>
      </c>
      <c r="F139" s="35">
        <v>53000</v>
      </c>
      <c r="G139" s="35">
        <v>49200</v>
      </c>
      <c r="H139" s="35">
        <v>358200</v>
      </c>
      <c r="I139" s="35">
        <v>168300</v>
      </c>
      <c r="J139" s="35">
        <v>180200</v>
      </c>
      <c r="K139" s="35">
        <v>38700</v>
      </c>
    </row>
    <row r="140" spans="2:11" x14ac:dyDescent="0.2">
      <c r="B140" s="12" t="s">
        <v>286</v>
      </c>
      <c r="C140" s="35">
        <v>601</v>
      </c>
      <c r="D140" s="35">
        <v>78000</v>
      </c>
      <c r="E140" s="35">
        <v>70100</v>
      </c>
      <c r="F140" s="35">
        <v>59300</v>
      </c>
      <c r="G140" s="35">
        <v>52700</v>
      </c>
      <c r="H140" s="35">
        <v>365100</v>
      </c>
      <c r="I140" s="35">
        <v>169500</v>
      </c>
      <c r="J140" s="35">
        <v>179300</v>
      </c>
      <c r="K140" s="35">
        <v>22700</v>
      </c>
    </row>
    <row r="141" spans="2:11" x14ac:dyDescent="0.2">
      <c r="B141" s="12" t="s">
        <v>521</v>
      </c>
      <c r="C141" s="35">
        <v>626</v>
      </c>
      <c r="D141" s="35">
        <v>74800</v>
      </c>
      <c r="E141" s="35">
        <v>66200</v>
      </c>
      <c r="F141" s="35">
        <v>57900</v>
      </c>
      <c r="G141" s="35">
        <v>53100</v>
      </c>
      <c r="H141" s="35">
        <v>323700</v>
      </c>
      <c r="I141" s="35">
        <v>107600</v>
      </c>
      <c r="J141" s="35">
        <v>170300</v>
      </c>
      <c r="K141" s="35">
        <v>27600</v>
      </c>
    </row>
    <row r="142" spans="2:11" x14ac:dyDescent="0.2">
      <c r="B142" s="12" t="s">
        <v>287</v>
      </c>
      <c r="C142" s="35">
        <v>2131</v>
      </c>
      <c r="D142" s="35">
        <v>78300</v>
      </c>
      <c r="E142" s="35">
        <v>66300</v>
      </c>
      <c r="F142" s="35">
        <v>61000</v>
      </c>
      <c r="G142" s="35">
        <v>52600</v>
      </c>
      <c r="H142" s="35">
        <v>361200</v>
      </c>
      <c r="I142" s="35">
        <v>82400</v>
      </c>
      <c r="J142" s="35">
        <v>194300</v>
      </c>
      <c r="K142" s="35">
        <v>23400</v>
      </c>
    </row>
    <row r="143" spans="2:11" x14ac:dyDescent="0.2">
      <c r="B143" s="12" t="s">
        <v>288</v>
      </c>
      <c r="C143" s="35">
        <v>5360</v>
      </c>
      <c r="D143" s="35">
        <v>84600</v>
      </c>
      <c r="E143" s="35">
        <v>64900</v>
      </c>
      <c r="F143" s="35">
        <v>67900</v>
      </c>
      <c r="G143" s="35">
        <v>52800</v>
      </c>
      <c r="H143" s="35">
        <v>468100</v>
      </c>
      <c r="I143" s="35">
        <v>61400</v>
      </c>
      <c r="J143" s="35">
        <v>326600</v>
      </c>
      <c r="K143" s="35">
        <v>32500</v>
      </c>
    </row>
    <row r="144" spans="2:11" x14ac:dyDescent="0.2">
      <c r="B144" s="12" t="s">
        <v>289</v>
      </c>
      <c r="C144" s="35">
        <v>1605</v>
      </c>
      <c r="D144" s="35">
        <v>107300</v>
      </c>
      <c r="E144" s="35">
        <v>76200</v>
      </c>
      <c r="F144" s="35">
        <v>84200</v>
      </c>
      <c r="G144" s="35">
        <v>59900</v>
      </c>
      <c r="H144" s="35">
        <v>1954200</v>
      </c>
      <c r="I144" s="35">
        <v>326600</v>
      </c>
      <c r="J144" s="35">
        <v>1647000</v>
      </c>
      <c r="K144" s="35">
        <v>65700</v>
      </c>
    </row>
    <row r="145" spans="2:11" x14ac:dyDescent="0.2">
      <c r="B145" s="12" t="s">
        <v>290</v>
      </c>
      <c r="C145" s="35">
        <v>2361</v>
      </c>
      <c r="D145" s="35">
        <v>91200</v>
      </c>
      <c r="E145" s="35">
        <v>73500</v>
      </c>
      <c r="F145" s="35">
        <v>71500</v>
      </c>
      <c r="G145" s="35">
        <v>57900</v>
      </c>
      <c r="H145" s="35">
        <v>559500</v>
      </c>
      <c r="I145" s="35">
        <v>285300</v>
      </c>
      <c r="J145" s="35">
        <v>344800</v>
      </c>
      <c r="K145" s="35">
        <v>57700</v>
      </c>
    </row>
    <row r="146" spans="2:11" x14ac:dyDescent="0.2">
      <c r="B146" s="12" t="s">
        <v>291</v>
      </c>
      <c r="C146" s="35">
        <v>2365</v>
      </c>
      <c r="D146" s="35">
        <v>79400</v>
      </c>
      <c r="E146" s="35">
        <v>66900</v>
      </c>
      <c r="F146" s="35">
        <v>62000</v>
      </c>
      <c r="G146" s="35">
        <v>53300</v>
      </c>
      <c r="H146" s="35">
        <v>392100</v>
      </c>
      <c r="I146" s="35">
        <v>104900</v>
      </c>
      <c r="J146" s="35">
        <v>224800</v>
      </c>
      <c r="K146" s="35">
        <v>28200</v>
      </c>
    </row>
    <row r="147" spans="2:11" x14ac:dyDescent="0.2">
      <c r="B147" s="12" t="s">
        <v>292</v>
      </c>
      <c r="C147" s="35">
        <v>1432</v>
      </c>
      <c r="D147" s="35">
        <v>80200</v>
      </c>
      <c r="E147" s="35">
        <v>69300</v>
      </c>
      <c r="F147" s="35">
        <v>61900</v>
      </c>
      <c r="G147" s="35">
        <v>55000</v>
      </c>
      <c r="H147" s="35">
        <v>347600</v>
      </c>
      <c r="I147" s="35">
        <v>107800</v>
      </c>
      <c r="J147" s="35">
        <v>180000</v>
      </c>
      <c r="K147" s="35">
        <v>34000</v>
      </c>
    </row>
    <row r="148" spans="2:11" x14ac:dyDescent="0.2">
      <c r="B148" s="12" t="s">
        <v>293</v>
      </c>
      <c r="C148" s="35">
        <v>2865</v>
      </c>
      <c r="D148" s="35">
        <v>86100</v>
      </c>
      <c r="E148" s="35">
        <v>73200</v>
      </c>
      <c r="F148" s="35">
        <v>67400</v>
      </c>
      <c r="G148" s="35">
        <v>57800</v>
      </c>
      <c r="H148" s="35">
        <v>425200</v>
      </c>
      <c r="I148" s="35">
        <v>195500</v>
      </c>
      <c r="J148" s="35">
        <v>233700</v>
      </c>
      <c r="K148" s="35">
        <v>38800</v>
      </c>
    </row>
    <row r="149" spans="2:11" x14ac:dyDescent="0.2">
      <c r="B149" s="12" t="s">
        <v>294</v>
      </c>
      <c r="C149" s="35">
        <v>1606</v>
      </c>
      <c r="D149" s="35">
        <v>82300</v>
      </c>
      <c r="E149" s="35">
        <v>68900</v>
      </c>
      <c r="F149" s="35">
        <v>62900</v>
      </c>
      <c r="G149" s="35">
        <v>53900</v>
      </c>
      <c r="H149" s="35">
        <v>460500</v>
      </c>
      <c r="I149" s="35">
        <v>338300</v>
      </c>
      <c r="J149" s="35">
        <v>240000</v>
      </c>
      <c r="K149" s="35">
        <v>44800</v>
      </c>
    </row>
    <row r="150" spans="2:11" x14ac:dyDescent="0.2">
      <c r="B150" s="12" t="s">
        <v>295</v>
      </c>
      <c r="C150" s="35">
        <v>2119</v>
      </c>
      <c r="D150" s="35">
        <v>101900</v>
      </c>
      <c r="E150" s="35">
        <v>77200</v>
      </c>
      <c r="F150" s="35">
        <v>80200</v>
      </c>
      <c r="G150" s="35">
        <v>60800</v>
      </c>
      <c r="H150" s="35">
        <v>712700</v>
      </c>
      <c r="I150" s="35">
        <v>349200</v>
      </c>
      <c r="J150" s="35">
        <v>433500</v>
      </c>
      <c r="K150" s="35">
        <v>71600</v>
      </c>
    </row>
    <row r="151" spans="2:11" x14ac:dyDescent="0.2">
      <c r="B151" s="12" t="s">
        <v>296</v>
      </c>
      <c r="C151" s="35">
        <v>2724</v>
      </c>
      <c r="D151" s="35">
        <v>79600</v>
      </c>
      <c r="E151" s="35">
        <v>65900</v>
      </c>
      <c r="F151" s="35">
        <v>62200</v>
      </c>
      <c r="G151" s="35">
        <v>52100</v>
      </c>
      <c r="H151" s="35">
        <v>463600</v>
      </c>
      <c r="I151" s="35">
        <v>205900</v>
      </c>
      <c r="J151" s="35">
        <v>282000</v>
      </c>
      <c r="K151" s="35">
        <v>47000</v>
      </c>
    </row>
    <row r="152" spans="2:11" x14ac:dyDescent="0.2">
      <c r="B152" s="12" t="s">
        <v>297</v>
      </c>
      <c r="C152" s="35">
        <v>1552</v>
      </c>
      <c r="D152" s="35">
        <v>90800</v>
      </c>
      <c r="E152" s="35">
        <v>74600</v>
      </c>
      <c r="F152" s="35">
        <v>71200</v>
      </c>
      <c r="G152" s="35">
        <v>60100</v>
      </c>
      <c r="H152" s="35">
        <v>554600</v>
      </c>
      <c r="I152" s="35">
        <v>338400</v>
      </c>
      <c r="J152" s="35">
        <v>354500</v>
      </c>
      <c r="K152" s="35">
        <v>73900</v>
      </c>
    </row>
    <row r="153" spans="2:11" s="7" customFormat="1" x14ac:dyDescent="0.2">
      <c r="B153" s="218" t="s">
        <v>298</v>
      </c>
      <c r="C153" s="31">
        <v>18476</v>
      </c>
      <c r="D153" s="31">
        <v>85600</v>
      </c>
      <c r="E153" s="31">
        <v>69800</v>
      </c>
      <c r="F153" s="31">
        <v>65900</v>
      </c>
      <c r="G153" s="31">
        <v>54700</v>
      </c>
      <c r="H153" s="31">
        <v>475100</v>
      </c>
      <c r="I153" s="31">
        <v>202400</v>
      </c>
      <c r="J153" s="31">
        <v>258600</v>
      </c>
      <c r="K153" s="31">
        <v>40400</v>
      </c>
    </row>
    <row r="154" spans="2:11" x14ac:dyDescent="0.2">
      <c r="B154" s="12" t="s">
        <v>299</v>
      </c>
      <c r="C154" s="35">
        <v>500</v>
      </c>
      <c r="D154" s="35">
        <v>92300</v>
      </c>
      <c r="E154" s="35">
        <v>76100</v>
      </c>
      <c r="F154" s="35">
        <v>69500</v>
      </c>
      <c r="G154" s="35">
        <v>57300</v>
      </c>
      <c r="H154" s="35">
        <v>450700</v>
      </c>
      <c r="I154" s="35">
        <v>242000</v>
      </c>
      <c r="J154" s="35">
        <v>213900</v>
      </c>
      <c r="K154" s="35">
        <v>44200</v>
      </c>
    </row>
    <row r="155" spans="2:11" s="208" customFormat="1" x14ac:dyDescent="0.2">
      <c r="B155" s="12" t="s">
        <v>300</v>
      </c>
      <c r="C155" s="35">
        <v>772</v>
      </c>
      <c r="D155" s="35">
        <v>88500</v>
      </c>
      <c r="E155" s="35">
        <v>72900</v>
      </c>
      <c r="F155" s="35">
        <v>66800</v>
      </c>
      <c r="G155" s="35">
        <v>55300</v>
      </c>
      <c r="H155" s="35">
        <v>494500</v>
      </c>
      <c r="I155" s="35">
        <v>276000</v>
      </c>
      <c r="J155" s="35">
        <v>236200</v>
      </c>
      <c r="K155" s="35">
        <v>43400</v>
      </c>
    </row>
    <row r="156" spans="2:11" x14ac:dyDescent="0.2">
      <c r="B156" s="12" t="s">
        <v>301</v>
      </c>
      <c r="C156" s="35">
        <v>924</v>
      </c>
      <c r="D156" s="35">
        <v>90000</v>
      </c>
      <c r="E156" s="35">
        <v>71800</v>
      </c>
      <c r="F156" s="35">
        <v>68400</v>
      </c>
      <c r="G156" s="35">
        <v>56600</v>
      </c>
      <c r="H156" s="35">
        <v>441400</v>
      </c>
      <c r="I156" s="35">
        <v>230800</v>
      </c>
      <c r="J156" s="35">
        <v>197100</v>
      </c>
      <c r="K156" s="35">
        <v>40200</v>
      </c>
    </row>
    <row r="157" spans="2:11" x14ac:dyDescent="0.2">
      <c r="B157" s="12" t="s">
        <v>302</v>
      </c>
      <c r="C157" s="35">
        <v>574</v>
      </c>
      <c r="D157" s="35">
        <v>84700</v>
      </c>
      <c r="E157" s="35">
        <v>64500</v>
      </c>
      <c r="F157" s="35">
        <v>65900</v>
      </c>
      <c r="G157" s="35">
        <v>50800</v>
      </c>
      <c r="H157" s="35">
        <v>508600</v>
      </c>
      <c r="I157" s="35">
        <v>172100</v>
      </c>
      <c r="J157" s="35">
        <v>261900</v>
      </c>
      <c r="K157" s="35">
        <v>43300</v>
      </c>
    </row>
    <row r="158" spans="2:11" x14ac:dyDescent="0.2">
      <c r="B158" s="12" t="s">
        <v>303</v>
      </c>
      <c r="C158" s="35">
        <v>313</v>
      </c>
      <c r="D158" s="35">
        <v>87700</v>
      </c>
      <c r="E158" s="35">
        <v>76600</v>
      </c>
      <c r="F158" s="35">
        <v>66900</v>
      </c>
      <c r="G158" s="35">
        <v>62000</v>
      </c>
      <c r="H158" s="35">
        <v>483800</v>
      </c>
      <c r="I158" s="35">
        <v>367200</v>
      </c>
      <c r="J158" s="35">
        <v>253800</v>
      </c>
      <c r="K158" s="35">
        <v>60200</v>
      </c>
    </row>
    <row r="159" spans="2:11" x14ac:dyDescent="0.2">
      <c r="B159" s="12" t="s">
        <v>304</v>
      </c>
      <c r="C159" s="35">
        <v>322</v>
      </c>
      <c r="D159" s="35">
        <v>98200</v>
      </c>
      <c r="E159" s="35">
        <v>66600</v>
      </c>
      <c r="F159" s="35">
        <v>74100</v>
      </c>
      <c r="G159" s="35">
        <v>50100</v>
      </c>
      <c r="H159" s="35">
        <v>523800</v>
      </c>
      <c r="I159" s="35">
        <v>201500</v>
      </c>
      <c r="J159" s="35">
        <v>280500</v>
      </c>
      <c r="K159" s="35">
        <v>59100</v>
      </c>
    </row>
    <row r="160" spans="2:11" x14ac:dyDescent="0.2">
      <c r="B160" s="12" t="s">
        <v>305</v>
      </c>
      <c r="C160" s="35">
        <v>1528</v>
      </c>
      <c r="D160" s="35">
        <v>79600</v>
      </c>
      <c r="E160" s="35">
        <v>66200</v>
      </c>
      <c r="F160" s="35">
        <v>61800</v>
      </c>
      <c r="G160" s="35">
        <v>52300</v>
      </c>
      <c r="H160" s="35">
        <v>397800</v>
      </c>
      <c r="I160" s="35">
        <v>118700</v>
      </c>
      <c r="J160" s="35">
        <v>230300</v>
      </c>
      <c r="K160" s="35">
        <v>47300</v>
      </c>
    </row>
    <row r="161" spans="2:11" x14ac:dyDescent="0.2">
      <c r="B161" s="12" t="s">
        <v>306</v>
      </c>
      <c r="C161" s="35">
        <v>555</v>
      </c>
      <c r="D161" s="35">
        <v>79800</v>
      </c>
      <c r="E161" s="35">
        <v>68700</v>
      </c>
      <c r="F161" s="35">
        <v>60600</v>
      </c>
      <c r="G161" s="35">
        <v>52300</v>
      </c>
      <c r="H161" s="35">
        <v>455000</v>
      </c>
      <c r="I161" s="35">
        <v>324400</v>
      </c>
      <c r="J161" s="35">
        <v>238600</v>
      </c>
      <c r="K161" s="35">
        <v>48400</v>
      </c>
    </row>
    <row r="162" spans="2:11" x14ac:dyDescent="0.2">
      <c r="B162" s="12" t="s">
        <v>307</v>
      </c>
      <c r="C162" s="35">
        <v>632</v>
      </c>
      <c r="D162" s="35">
        <v>88600</v>
      </c>
      <c r="E162" s="35">
        <v>76100</v>
      </c>
      <c r="F162" s="35">
        <v>67000</v>
      </c>
      <c r="G162" s="35">
        <v>56500</v>
      </c>
      <c r="H162" s="35">
        <v>528300</v>
      </c>
      <c r="I162" s="35">
        <v>389800</v>
      </c>
      <c r="J162" s="35">
        <v>264600</v>
      </c>
      <c r="K162" s="35">
        <v>46600</v>
      </c>
    </row>
    <row r="163" spans="2:11" x14ac:dyDescent="0.2">
      <c r="B163" s="12" t="s">
        <v>308</v>
      </c>
      <c r="C163" s="35">
        <v>696</v>
      </c>
      <c r="D163" s="35">
        <v>84800</v>
      </c>
      <c r="E163" s="35">
        <v>72000</v>
      </c>
      <c r="F163" s="35">
        <v>64300</v>
      </c>
      <c r="G163" s="35">
        <v>55600</v>
      </c>
      <c r="H163" s="35">
        <v>435000</v>
      </c>
      <c r="I163" s="35">
        <v>149200</v>
      </c>
      <c r="J163" s="35">
        <v>238700</v>
      </c>
      <c r="K163" s="35">
        <v>43200</v>
      </c>
    </row>
    <row r="164" spans="2:11" x14ac:dyDescent="0.2">
      <c r="B164" s="12" t="s">
        <v>309</v>
      </c>
      <c r="C164" s="35">
        <v>99</v>
      </c>
      <c r="D164" s="35">
        <v>117000</v>
      </c>
      <c r="E164" s="35">
        <v>68600</v>
      </c>
      <c r="F164" s="35">
        <v>97000</v>
      </c>
      <c r="G164" s="35">
        <v>53100</v>
      </c>
      <c r="H164" s="35">
        <v>1048700</v>
      </c>
      <c r="I164" s="35">
        <v>257600</v>
      </c>
      <c r="J164" s="35">
        <v>720300</v>
      </c>
      <c r="K164" s="35">
        <v>30500</v>
      </c>
    </row>
    <row r="165" spans="2:11" x14ac:dyDescent="0.2">
      <c r="B165" s="12" t="s">
        <v>310</v>
      </c>
      <c r="C165" s="35">
        <v>179</v>
      </c>
      <c r="D165" s="35">
        <v>95400</v>
      </c>
      <c r="E165" s="35">
        <v>74100</v>
      </c>
      <c r="F165" s="35">
        <v>73500</v>
      </c>
      <c r="G165" s="35">
        <v>58100</v>
      </c>
      <c r="H165" s="35">
        <v>824500</v>
      </c>
      <c r="I165" s="35">
        <v>436900</v>
      </c>
      <c r="J165" s="35">
        <v>487400</v>
      </c>
      <c r="K165" s="35">
        <v>97500</v>
      </c>
    </row>
    <row r="166" spans="2:11" x14ac:dyDescent="0.2">
      <c r="B166" s="12" t="s">
        <v>311</v>
      </c>
      <c r="C166" s="35">
        <v>1791</v>
      </c>
      <c r="D166" s="35">
        <v>87200</v>
      </c>
      <c r="E166" s="35">
        <v>71100</v>
      </c>
      <c r="F166" s="35">
        <v>67100</v>
      </c>
      <c r="G166" s="35">
        <v>56100</v>
      </c>
      <c r="H166" s="35">
        <v>457600</v>
      </c>
      <c r="I166" s="35">
        <v>222200</v>
      </c>
      <c r="J166" s="35">
        <v>231800</v>
      </c>
      <c r="K166" s="35">
        <v>30600</v>
      </c>
    </row>
    <row r="167" spans="2:11" x14ac:dyDescent="0.2">
      <c r="B167" s="12" t="s">
        <v>312</v>
      </c>
      <c r="C167" s="35">
        <v>557</v>
      </c>
      <c r="D167" s="35">
        <v>86300</v>
      </c>
      <c r="E167" s="35">
        <v>70900</v>
      </c>
      <c r="F167" s="35">
        <v>66200</v>
      </c>
      <c r="G167" s="35">
        <v>55500</v>
      </c>
      <c r="H167" s="35">
        <v>523000</v>
      </c>
      <c r="I167" s="35">
        <v>210000</v>
      </c>
      <c r="J167" s="35">
        <v>255700</v>
      </c>
      <c r="K167" s="35">
        <v>41300</v>
      </c>
    </row>
    <row r="168" spans="2:11" x14ac:dyDescent="0.2">
      <c r="B168" s="12" t="s">
        <v>522</v>
      </c>
      <c r="C168" s="35">
        <v>4132</v>
      </c>
      <c r="D168" s="35">
        <v>82300</v>
      </c>
      <c r="E168" s="35">
        <v>67600</v>
      </c>
      <c r="F168" s="35">
        <v>64200</v>
      </c>
      <c r="G168" s="35">
        <v>53100</v>
      </c>
      <c r="H168" s="35">
        <v>486500</v>
      </c>
      <c r="I168" s="35">
        <v>107400</v>
      </c>
      <c r="J168" s="35">
        <v>301000</v>
      </c>
      <c r="K168" s="35">
        <v>33900</v>
      </c>
    </row>
    <row r="169" spans="2:11" x14ac:dyDescent="0.2">
      <c r="B169" s="12" t="s">
        <v>313</v>
      </c>
      <c r="C169" s="35">
        <v>774</v>
      </c>
      <c r="D169" s="35">
        <v>87400</v>
      </c>
      <c r="E169" s="35">
        <v>72800</v>
      </c>
      <c r="F169" s="35">
        <v>65700</v>
      </c>
      <c r="G169" s="35">
        <v>54100</v>
      </c>
      <c r="H169" s="35">
        <v>442200</v>
      </c>
      <c r="I169" s="35">
        <v>313000</v>
      </c>
      <c r="J169" s="35">
        <v>216400</v>
      </c>
      <c r="K169" s="35">
        <v>34000</v>
      </c>
    </row>
    <row r="170" spans="2:11" x14ac:dyDescent="0.2">
      <c r="B170" s="12" t="s">
        <v>314</v>
      </c>
      <c r="C170" s="35">
        <v>457</v>
      </c>
      <c r="D170" s="35">
        <v>91300</v>
      </c>
      <c r="E170" s="35">
        <v>78600</v>
      </c>
      <c r="F170" s="35">
        <v>69600</v>
      </c>
      <c r="G170" s="35">
        <v>59700</v>
      </c>
      <c r="H170" s="35">
        <v>535200</v>
      </c>
      <c r="I170" s="35">
        <v>314900</v>
      </c>
      <c r="J170" s="35">
        <v>239600</v>
      </c>
      <c r="K170" s="35">
        <v>46800</v>
      </c>
    </row>
    <row r="171" spans="2:11" x14ac:dyDescent="0.2">
      <c r="B171" s="12" t="s">
        <v>315</v>
      </c>
      <c r="C171" s="35">
        <v>2185</v>
      </c>
      <c r="D171" s="35">
        <v>85400</v>
      </c>
      <c r="E171" s="35">
        <v>70000</v>
      </c>
      <c r="F171" s="35">
        <v>66000</v>
      </c>
      <c r="G171" s="35">
        <v>55600</v>
      </c>
      <c r="H171" s="35">
        <v>468800</v>
      </c>
      <c r="I171" s="35">
        <v>177900</v>
      </c>
      <c r="J171" s="35">
        <v>260300</v>
      </c>
      <c r="K171" s="35">
        <v>39600</v>
      </c>
    </row>
    <row r="172" spans="2:11" x14ac:dyDescent="0.2">
      <c r="B172" s="12" t="s">
        <v>316</v>
      </c>
      <c r="C172" s="35">
        <v>1486</v>
      </c>
      <c r="D172" s="35">
        <v>85400</v>
      </c>
      <c r="E172" s="35">
        <v>71000</v>
      </c>
      <c r="F172" s="35">
        <v>65800</v>
      </c>
      <c r="G172" s="35">
        <v>55900</v>
      </c>
      <c r="H172" s="35">
        <v>451600</v>
      </c>
      <c r="I172" s="35">
        <v>275300</v>
      </c>
      <c r="J172" s="35">
        <v>244300</v>
      </c>
      <c r="K172" s="35">
        <v>49300</v>
      </c>
    </row>
    <row r="173" spans="2:11" s="7" customFormat="1" x14ac:dyDescent="0.2">
      <c r="B173" s="218" t="s">
        <v>317</v>
      </c>
      <c r="C173" s="31">
        <v>25984</v>
      </c>
      <c r="D173" s="31">
        <v>89300</v>
      </c>
      <c r="E173" s="31">
        <v>72600</v>
      </c>
      <c r="F173" s="31">
        <v>70400</v>
      </c>
      <c r="G173" s="31">
        <v>58100</v>
      </c>
      <c r="H173" s="31">
        <v>482500</v>
      </c>
      <c r="I173" s="31">
        <v>149800</v>
      </c>
      <c r="J173" s="31">
        <v>299500</v>
      </c>
      <c r="K173" s="31">
        <v>37500</v>
      </c>
    </row>
    <row r="174" spans="2:11" x14ac:dyDescent="0.2">
      <c r="B174" s="12" t="s">
        <v>318</v>
      </c>
      <c r="C174" s="35">
        <v>445</v>
      </c>
      <c r="D174" s="35">
        <v>75100</v>
      </c>
      <c r="E174" s="35">
        <v>68800</v>
      </c>
      <c r="F174" s="35">
        <v>56600</v>
      </c>
      <c r="G174" s="35">
        <v>53600</v>
      </c>
      <c r="H174" s="35">
        <v>451700</v>
      </c>
      <c r="I174" s="35">
        <v>336200</v>
      </c>
      <c r="J174" s="35">
        <v>259200</v>
      </c>
      <c r="K174" s="35">
        <v>71700</v>
      </c>
    </row>
    <row r="175" spans="2:11" s="208" customFormat="1" x14ac:dyDescent="0.2">
      <c r="B175" s="12" t="s">
        <v>319</v>
      </c>
      <c r="C175" s="35">
        <v>3128</v>
      </c>
      <c r="D175" s="35">
        <v>89200</v>
      </c>
      <c r="E175" s="35">
        <v>77000</v>
      </c>
      <c r="F175" s="35">
        <v>73300</v>
      </c>
      <c r="G175" s="35">
        <v>63400</v>
      </c>
      <c r="H175" s="35">
        <v>332500</v>
      </c>
      <c r="I175" s="35">
        <v>77600</v>
      </c>
      <c r="J175" s="35">
        <v>205000</v>
      </c>
      <c r="K175" s="35">
        <v>31700</v>
      </c>
    </row>
    <row r="176" spans="2:11" x14ac:dyDescent="0.2">
      <c r="B176" s="12" t="s">
        <v>320</v>
      </c>
      <c r="C176" s="35">
        <v>2056</v>
      </c>
      <c r="D176" s="35">
        <v>110300</v>
      </c>
      <c r="E176" s="35">
        <v>87400</v>
      </c>
      <c r="F176" s="35">
        <v>85200</v>
      </c>
      <c r="G176" s="35">
        <v>67400</v>
      </c>
      <c r="H176" s="35">
        <v>705100</v>
      </c>
      <c r="I176" s="35">
        <v>454800</v>
      </c>
      <c r="J176" s="35">
        <v>406100</v>
      </c>
      <c r="K176" s="35">
        <v>67000</v>
      </c>
    </row>
    <row r="177" spans="2:11" x14ac:dyDescent="0.2">
      <c r="B177" s="12" t="s">
        <v>321</v>
      </c>
      <c r="C177" s="35">
        <v>5910</v>
      </c>
      <c r="D177" s="35">
        <v>84400</v>
      </c>
      <c r="E177" s="35">
        <v>71300</v>
      </c>
      <c r="F177" s="35">
        <v>65900</v>
      </c>
      <c r="G177" s="35">
        <v>57000</v>
      </c>
      <c r="H177" s="35">
        <v>420200</v>
      </c>
      <c r="I177" s="35">
        <v>147000</v>
      </c>
      <c r="J177" s="35">
        <v>235300</v>
      </c>
      <c r="K177" s="35">
        <v>34100</v>
      </c>
    </row>
    <row r="178" spans="2:11" x14ac:dyDescent="0.2">
      <c r="B178" s="12" t="s">
        <v>322</v>
      </c>
      <c r="C178" s="35">
        <v>755</v>
      </c>
      <c r="D178" s="35">
        <v>82600</v>
      </c>
      <c r="E178" s="35">
        <v>70200</v>
      </c>
      <c r="F178" s="35">
        <v>63400</v>
      </c>
      <c r="G178" s="35">
        <v>54900</v>
      </c>
      <c r="H178" s="35">
        <v>420900</v>
      </c>
      <c r="I178" s="35">
        <v>179700</v>
      </c>
      <c r="J178" s="35">
        <v>224900</v>
      </c>
      <c r="K178" s="35">
        <v>23800</v>
      </c>
    </row>
    <row r="179" spans="2:11" x14ac:dyDescent="0.2">
      <c r="B179" s="12" t="s">
        <v>323</v>
      </c>
      <c r="C179" s="35">
        <v>565</v>
      </c>
      <c r="D179" s="35">
        <v>81300</v>
      </c>
      <c r="E179" s="35">
        <v>68800</v>
      </c>
      <c r="F179" s="35">
        <v>61600</v>
      </c>
      <c r="G179" s="35">
        <v>52200</v>
      </c>
      <c r="H179" s="35">
        <v>418500</v>
      </c>
      <c r="I179" s="35">
        <v>314200</v>
      </c>
      <c r="J179" s="35">
        <v>207400</v>
      </c>
      <c r="K179" s="35">
        <v>35700</v>
      </c>
    </row>
    <row r="180" spans="2:11" x14ac:dyDescent="0.2">
      <c r="B180" s="12" t="s">
        <v>324</v>
      </c>
      <c r="C180" s="35">
        <v>214</v>
      </c>
      <c r="D180" s="35">
        <v>118100</v>
      </c>
      <c r="E180" s="35">
        <v>84500</v>
      </c>
      <c r="F180" s="35">
        <v>92200</v>
      </c>
      <c r="G180" s="35">
        <v>67300</v>
      </c>
      <c r="H180" s="35">
        <v>833300</v>
      </c>
      <c r="I180" s="35">
        <v>578100</v>
      </c>
      <c r="J180" s="35">
        <v>497800</v>
      </c>
      <c r="K180" s="35">
        <v>145300</v>
      </c>
    </row>
    <row r="181" spans="2:11" x14ac:dyDescent="0.2">
      <c r="B181" s="12" t="s">
        <v>325</v>
      </c>
      <c r="C181" s="35">
        <v>7361</v>
      </c>
      <c r="D181" s="35">
        <v>87400</v>
      </c>
      <c r="E181" s="35">
        <v>69000</v>
      </c>
      <c r="F181" s="35">
        <v>69900</v>
      </c>
      <c r="G181" s="35">
        <v>56700</v>
      </c>
      <c r="H181" s="35">
        <v>523400</v>
      </c>
      <c r="I181" s="35">
        <v>69300</v>
      </c>
      <c r="J181" s="35">
        <v>387300</v>
      </c>
      <c r="K181" s="35">
        <v>31900</v>
      </c>
    </row>
    <row r="182" spans="2:11" x14ac:dyDescent="0.2">
      <c r="B182" s="12" t="s">
        <v>326</v>
      </c>
      <c r="C182" s="35">
        <v>458</v>
      </c>
      <c r="D182" s="35">
        <v>84300</v>
      </c>
      <c r="E182" s="35">
        <v>74900</v>
      </c>
      <c r="F182" s="35">
        <v>63000</v>
      </c>
      <c r="G182" s="35">
        <v>56000</v>
      </c>
      <c r="H182" s="35">
        <v>439200</v>
      </c>
      <c r="I182" s="35">
        <v>250200</v>
      </c>
      <c r="J182" s="35">
        <v>246800</v>
      </c>
      <c r="K182" s="35">
        <v>70000</v>
      </c>
    </row>
    <row r="183" spans="2:11" x14ac:dyDescent="0.2">
      <c r="B183" s="12" t="s">
        <v>523</v>
      </c>
      <c r="C183" s="35">
        <v>1717</v>
      </c>
      <c r="D183" s="35">
        <v>88000</v>
      </c>
      <c r="E183" s="35">
        <v>70800</v>
      </c>
      <c r="F183" s="35">
        <v>70000</v>
      </c>
      <c r="G183" s="35">
        <v>56000</v>
      </c>
      <c r="H183" s="35">
        <v>404000</v>
      </c>
      <c r="I183" s="35">
        <v>98400</v>
      </c>
      <c r="J183" s="35">
        <v>235700</v>
      </c>
      <c r="K183" s="35">
        <v>27600</v>
      </c>
    </row>
    <row r="184" spans="2:11" x14ac:dyDescent="0.2">
      <c r="B184" s="12" t="s">
        <v>327</v>
      </c>
      <c r="C184" s="35">
        <v>1074</v>
      </c>
      <c r="D184" s="35">
        <v>100800</v>
      </c>
      <c r="E184" s="35">
        <v>79700</v>
      </c>
      <c r="F184" s="35">
        <v>78400</v>
      </c>
      <c r="G184" s="35">
        <v>62600</v>
      </c>
      <c r="H184" s="35">
        <v>589000</v>
      </c>
      <c r="I184" s="35">
        <v>407800</v>
      </c>
      <c r="J184" s="35">
        <v>323000</v>
      </c>
      <c r="K184" s="35">
        <v>67500</v>
      </c>
    </row>
    <row r="185" spans="2:11" x14ac:dyDescent="0.2">
      <c r="B185" s="12" t="s">
        <v>328</v>
      </c>
      <c r="C185" s="35">
        <v>568</v>
      </c>
      <c r="D185" s="35">
        <v>83800</v>
      </c>
      <c r="E185" s="35">
        <v>69600</v>
      </c>
      <c r="F185" s="35">
        <v>65100</v>
      </c>
      <c r="G185" s="35">
        <v>53200</v>
      </c>
      <c r="H185" s="35">
        <v>509100</v>
      </c>
      <c r="I185" s="35">
        <v>391500</v>
      </c>
      <c r="J185" s="35">
        <v>283000</v>
      </c>
      <c r="K185" s="35">
        <v>83600</v>
      </c>
    </row>
    <row r="186" spans="2:11" x14ac:dyDescent="0.2">
      <c r="B186" s="12" t="s">
        <v>329</v>
      </c>
      <c r="C186" s="35">
        <v>1263</v>
      </c>
      <c r="D186" s="35">
        <v>92200</v>
      </c>
      <c r="E186" s="35">
        <v>75700</v>
      </c>
      <c r="F186" s="35">
        <v>71100</v>
      </c>
      <c r="G186" s="35">
        <v>57100</v>
      </c>
      <c r="H186" s="35">
        <v>564400</v>
      </c>
      <c r="I186" s="35">
        <v>373500</v>
      </c>
      <c r="J186" s="35">
        <v>317400</v>
      </c>
      <c r="K186" s="35">
        <v>47400</v>
      </c>
    </row>
    <row r="187" spans="2:11" x14ac:dyDescent="0.2">
      <c r="B187" s="12" t="s">
        <v>330</v>
      </c>
      <c r="C187" s="35">
        <v>470</v>
      </c>
      <c r="D187" s="35">
        <v>94900</v>
      </c>
      <c r="E187" s="35">
        <v>80000</v>
      </c>
      <c r="F187" s="35">
        <v>72200</v>
      </c>
      <c r="G187" s="35">
        <v>60800</v>
      </c>
      <c r="H187" s="35">
        <v>530900</v>
      </c>
      <c r="I187" s="35">
        <v>441900</v>
      </c>
      <c r="J187" s="35">
        <v>274700</v>
      </c>
      <c r="K187" s="35">
        <v>63700</v>
      </c>
    </row>
    <row r="188" spans="2:11" s="7" customFormat="1" x14ac:dyDescent="0.2">
      <c r="B188" s="218" t="s">
        <v>331</v>
      </c>
      <c r="C188" s="31">
        <v>38883</v>
      </c>
      <c r="D188" s="31">
        <v>77000</v>
      </c>
      <c r="E188" s="31">
        <v>64700</v>
      </c>
      <c r="F188" s="31">
        <v>60300</v>
      </c>
      <c r="G188" s="31">
        <v>51700</v>
      </c>
      <c r="H188" s="31">
        <v>381500</v>
      </c>
      <c r="I188" s="31">
        <v>101500</v>
      </c>
      <c r="J188" s="31">
        <v>223800</v>
      </c>
      <c r="K188" s="31">
        <v>29900</v>
      </c>
    </row>
    <row r="189" spans="2:11" x14ac:dyDescent="0.2">
      <c r="B189" s="12" t="s">
        <v>332</v>
      </c>
      <c r="C189" s="35">
        <v>4103</v>
      </c>
      <c r="D189" s="35">
        <v>70600</v>
      </c>
      <c r="E189" s="35">
        <v>61800</v>
      </c>
      <c r="F189" s="35">
        <v>56000</v>
      </c>
      <c r="G189" s="35">
        <v>50100</v>
      </c>
      <c r="H189" s="35">
        <v>265400</v>
      </c>
      <c r="I189" s="35">
        <v>37600</v>
      </c>
      <c r="J189" s="35">
        <v>145300</v>
      </c>
      <c r="K189" s="35">
        <v>13900</v>
      </c>
    </row>
    <row r="190" spans="2:11" s="208" customFormat="1" x14ac:dyDescent="0.2">
      <c r="B190" s="12" t="s">
        <v>333</v>
      </c>
      <c r="C190" s="35">
        <v>158</v>
      </c>
      <c r="D190" s="35">
        <v>77900</v>
      </c>
      <c r="E190" s="35">
        <v>65300</v>
      </c>
      <c r="F190" s="35">
        <v>57900</v>
      </c>
      <c r="G190" s="35">
        <v>48000</v>
      </c>
      <c r="H190" s="35">
        <v>486800</v>
      </c>
      <c r="I190" s="35">
        <v>363000</v>
      </c>
      <c r="J190" s="35">
        <v>294400</v>
      </c>
      <c r="K190" s="35">
        <v>76600</v>
      </c>
    </row>
    <row r="191" spans="2:11" x14ac:dyDescent="0.2">
      <c r="B191" s="12" t="s">
        <v>334</v>
      </c>
      <c r="C191" s="35">
        <v>459</v>
      </c>
      <c r="D191" s="35">
        <v>79300</v>
      </c>
      <c r="E191" s="35">
        <v>65800</v>
      </c>
      <c r="F191" s="35">
        <v>61700</v>
      </c>
      <c r="G191" s="35">
        <v>52200</v>
      </c>
      <c r="H191" s="35">
        <v>443200</v>
      </c>
      <c r="I191" s="35">
        <v>287000</v>
      </c>
      <c r="J191" s="35">
        <v>252000</v>
      </c>
      <c r="K191" s="35">
        <v>54500</v>
      </c>
    </row>
    <row r="192" spans="2:11" x14ac:dyDescent="0.2">
      <c r="B192" s="12" t="s">
        <v>335</v>
      </c>
      <c r="C192" s="35">
        <v>2131</v>
      </c>
      <c r="D192" s="35">
        <v>80400</v>
      </c>
      <c r="E192" s="35">
        <v>68600</v>
      </c>
      <c r="F192" s="35">
        <v>61700</v>
      </c>
      <c r="G192" s="35">
        <v>53600</v>
      </c>
      <c r="H192" s="35">
        <v>422900</v>
      </c>
      <c r="I192" s="35">
        <v>268500</v>
      </c>
      <c r="J192" s="35">
        <v>234400</v>
      </c>
      <c r="K192" s="35">
        <v>48300</v>
      </c>
    </row>
    <row r="193" spans="2:11" x14ac:dyDescent="0.2">
      <c r="B193" s="12" t="s">
        <v>336</v>
      </c>
      <c r="C193" s="35">
        <v>490</v>
      </c>
      <c r="D193" s="35">
        <v>76800</v>
      </c>
      <c r="E193" s="35">
        <v>64600</v>
      </c>
      <c r="F193" s="35">
        <v>59100</v>
      </c>
      <c r="G193" s="35">
        <v>50300</v>
      </c>
      <c r="H193" s="35">
        <v>452300</v>
      </c>
      <c r="I193" s="35">
        <v>263500</v>
      </c>
      <c r="J193" s="35">
        <v>233600</v>
      </c>
      <c r="K193" s="35">
        <v>43300</v>
      </c>
    </row>
    <row r="194" spans="2:11" x14ac:dyDescent="0.2">
      <c r="B194" s="12" t="s">
        <v>337</v>
      </c>
      <c r="C194" s="35">
        <v>2416</v>
      </c>
      <c r="D194" s="35">
        <v>79300</v>
      </c>
      <c r="E194" s="35">
        <v>65300</v>
      </c>
      <c r="F194" s="35">
        <v>62000</v>
      </c>
      <c r="G194" s="35">
        <v>51700</v>
      </c>
      <c r="H194" s="35">
        <v>435500</v>
      </c>
      <c r="I194" s="35">
        <v>166800</v>
      </c>
      <c r="J194" s="35">
        <v>247500</v>
      </c>
      <c r="K194" s="35">
        <v>29300</v>
      </c>
    </row>
    <row r="195" spans="2:11" x14ac:dyDescent="0.2">
      <c r="B195" s="12" t="s">
        <v>338</v>
      </c>
      <c r="C195" s="35">
        <v>508</v>
      </c>
      <c r="D195" s="35">
        <v>79400</v>
      </c>
      <c r="E195" s="35">
        <v>61300</v>
      </c>
      <c r="F195" s="35">
        <v>61600</v>
      </c>
      <c r="G195" s="35">
        <v>49100</v>
      </c>
      <c r="H195" s="35">
        <v>430100</v>
      </c>
      <c r="I195" s="35">
        <v>170800</v>
      </c>
      <c r="J195" s="35">
        <v>233200</v>
      </c>
      <c r="K195" s="35">
        <v>27200</v>
      </c>
    </row>
    <row r="196" spans="2:11" x14ac:dyDescent="0.2">
      <c r="B196" s="12" t="s">
        <v>339</v>
      </c>
      <c r="C196" s="35">
        <v>1568</v>
      </c>
      <c r="D196" s="35">
        <v>76900</v>
      </c>
      <c r="E196" s="35">
        <v>63200</v>
      </c>
      <c r="F196" s="35">
        <v>58700</v>
      </c>
      <c r="G196" s="35">
        <v>48500</v>
      </c>
      <c r="H196" s="35">
        <v>433100</v>
      </c>
      <c r="I196" s="35">
        <v>229700</v>
      </c>
      <c r="J196" s="35">
        <v>249400</v>
      </c>
      <c r="K196" s="35">
        <v>34900</v>
      </c>
    </row>
    <row r="197" spans="2:11" x14ac:dyDescent="0.2">
      <c r="B197" s="12" t="s">
        <v>340</v>
      </c>
      <c r="C197" s="35">
        <v>7381</v>
      </c>
      <c r="D197" s="35">
        <v>74600</v>
      </c>
      <c r="E197" s="35">
        <v>63800</v>
      </c>
      <c r="F197" s="35">
        <v>59200</v>
      </c>
      <c r="G197" s="35">
        <v>51400</v>
      </c>
      <c r="H197" s="35">
        <v>299700</v>
      </c>
      <c r="I197" s="35">
        <v>54100</v>
      </c>
      <c r="J197" s="35">
        <v>168300</v>
      </c>
      <c r="K197" s="35">
        <v>19200</v>
      </c>
    </row>
    <row r="198" spans="2:11" x14ac:dyDescent="0.2">
      <c r="B198" s="12" t="s">
        <v>341</v>
      </c>
      <c r="C198" s="35">
        <v>664</v>
      </c>
      <c r="D198" s="35">
        <v>78900</v>
      </c>
      <c r="E198" s="35">
        <v>62500</v>
      </c>
      <c r="F198" s="35">
        <v>60200</v>
      </c>
      <c r="G198" s="35">
        <v>49100</v>
      </c>
      <c r="H198" s="35">
        <v>411200</v>
      </c>
      <c r="I198" s="35">
        <v>189100</v>
      </c>
      <c r="J198" s="35">
        <v>219100</v>
      </c>
      <c r="K198" s="35">
        <v>32500</v>
      </c>
    </row>
    <row r="199" spans="2:11" x14ac:dyDescent="0.2">
      <c r="B199" s="12" t="s">
        <v>342</v>
      </c>
      <c r="C199" s="35">
        <v>4787</v>
      </c>
      <c r="D199" s="35">
        <v>79300</v>
      </c>
      <c r="E199" s="35">
        <v>66600</v>
      </c>
      <c r="F199" s="35">
        <v>61600</v>
      </c>
      <c r="G199" s="35">
        <v>52800</v>
      </c>
      <c r="H199" s="35">
        <v>426900</v>
      </c>
      <c r="I199" s="35">
        <v>122600</v>
      </c>
      <c r="J199" s="35">
        <v>255500</v>
      </c>
      <c r="K199" s="35">
        <v>32300</v>
      </c>
    </row>
    <row r="200" spans="2:11" x14ac:dyDescent="0.2">
      <c r="B200" s="12" t="s">
        <v>343</v>
      </c>
      <c r="C200" s="35">
        <v>2043</v>
      </c>
      <c r="D200" s="35">
        <v>76700</v>
      </c>
      <c r="E200" s="35">
        <v>65800</v>
      </c>
      <c r="F200" s="35">
        <v>58400</v>
      </c>
      <c r="G200" s="35">
        <v>52000</v>
      </c>
      <c r="H200" s="35">
        <v>363900</v>
      </c>
      <c r="I200" s="35">
        <v>257700</v>
      </c>
      <c r="J200" s="35">
        <v>187700</v>
      </c>
      <c r="K200" s="35">
        <v>28900</v>
      </c>
    </row>
    <row r="201" spans="2:11" x14ac:dyDescent="0.2">
      <c r="B201" s="12" t="s">
        <v>344</v>
      </c>
      <c r="C201" s="35">
        <v>610</v>
      </c>
      <c r="D201" s="35">
        <v>75900</v>
      </c>
      <c r="E201" s="35">
        <v>65100</v>
      </c>
      <c r="F201" s="35">
        <v>58700</v>
      </c>
      <c r="G201" s="35">
        <v>51600</v>
      </c>
      <c r="H201" s="35">
        <v>403800</v>
      </c>
      <c r="I201" s="35">
        <v>247100</v>
      </c>
      <c r="J201" s="35">
        <v>215600</v>
      </c>
      <c r="K201" s="35">
        <v>47200</v>
      </c>
    </row>
    <row r="202" spans="2:11" x14ac:dyDescent="0.2">
      <c r="B202" s="12" t="s">
        <v>345</v>
      </c>
      <c r="C202" s="35">
        <v>2583</v>
      </c>
      <c r="D202" s="35">
        <v>72700</v>
      </c>
      <c r="E202" s="35">
        <v>62500</v>
      </c>
      <c r="F202" s="35">
        <v>56600</v>
      </c>
      <c r="G202" s="35">
        <v>50100</v>
      </c>
      <c r="H202" s="35">
        <v>351900</v>
      </c>
      <c r="I202" s="35">
        <v>92300</v>
      </c>
      <c r="J202" s="35">
        <v>211400</v>
      </c>
      <c r="K202" s="35">
        <v>33700</v>
      </c>
    </row>
    <row r="203" spans="2:11" x14ac:dyDescent="0.2">
      <c r="B203" s="12" t="s">
        <v>346</v>
      </c>
      <c r="C203" s="35">
        <v>777</v>
      </c>
      <c r="D203" s="35">
        <v>77000</v>
      </c>
      <c r="E203" s="35">
        <v>66300</v>
      </c>
      <c r="F203" s="35">
        <v>59200</v>
      </c>
      <c r="G203" s="35">
        <v>52000</v>
      </c>
      <c r="H203" s="35">
        <v>401900</v>
      </c>
      <c r="I203" s="35">
        <v>294500</v>
      </c>
      <c r="J203" s="35">
        <v>206700</v>
      </c>
      <c r="K203" s="35">
        <v>43200</v>
      </c>
    </row>
    <row r="204" spans="2:11" x14ac:dyDescent="0.2">
      <c r="B204" s="12" t="s">
        <v>347</v>
      </c>
      <c r="C204" s="35">
        <v>1075</v>
      </c>
      <c r="D204" s="35">
        <v>78400</v>
      </c>
      <c r="E204" s="35">
        <v>69100</v>
      </c>
      <c r="F204" s="35">
        <v>59800</v>
      </c>
      <c r="G204" s="35">
        <v>53900</v>
      </c>
      <c r="H204" s="35">
        <v>471300</v>
      </c>
      <c r="I204" s="35">
        <v>322900</v>
      </c>
      <c r="J204" s="35">
        <v>267600</v>
      </c>
      <c r="K204" s="35">
        <v>53700</v>
      </c>
    </row>
    <row r="205" spans="2:11" x14ac:dyDescent="0.2">
      <c r="B205" s="12" t="s">
        <v>348</v>
      </c>
      <c r="C205" s="35">
        <v>95</v>
      </c>
      <c r="D205" s="35">
        <v>80700</v>
      </c>
      <c r="E205" s="35">
        <v>77200</v>
      </c>
      <c r="F205" s="35">
        <v>58500</v>
      </c>
      <c r="G205" s="35">
        <v>53800</v>
      </c>
      <c r="H205" s="35">
        <v>471600</v>
      </c>
      <c r="I205" s="35">
        <v>483700</v>
      </c>
      <c r="J205" s="35">
        <v>207300</v>
      </c>
      <c r="K205" s="35">
        <v>40400</v>
      </c>
    </row>
    <row r="206" spans="2:11" x14ac:dyDescent="0.2">
      <c r="B206" s="12" t="s">
        <v>349</v>
      </c>
      <c r="C206" s="35">
        <v>7035</v>
      </c>
      <c r="D206" s="35">
        <v>81100</v>
      </c>
      <c r="E206" s="35">
        <v>65600</v>
      </c>
      <c r="F206" s="35">
        <v>64500</v>
      </c>
      <c r="G206" s="35">
        <v>52900</v>
      </c>
      <c r="H206" s="35">
        <v>441000</v>
      </c>
      <c r="I206" s="35">
        <v>76400</v>
      </c>
      <c r="J206" s="35">
        <v>296200</v>
      </c>
      <c r="K206" s="35">
        <v>39000</v>
      </c>
    </row>
    <row r="207" spans="2:11" s="7" customFormat="1" x14ac:dyDescent="0.2">
      <c r="B207" s="218" t="s">
        <v>350</v>
      </c>
      <c r="C207" s="31">
        <v>17826</v>
      </c>
      <c r="D207" s="31">
        <v>80900</v>
      </c>
      <c r="E207" s="31">
        <v>67800</v>
      </c>
      <c r="F207" s="31">
        <v>62800</v>
      </c>
      <c r="G207" s="31">
        <v>53600</v>
      </c>
      <c r="H207" s="31">
        <v>447900</v>
      </c>
      <c r="I207" s="31">
        <v>183300</v>
      </c>
      <c r="J207" s="31">
        <v>268000</v>
      </c>
      <c r="K207" s="31">
        <v>40200</v>
      </c>
    </row>
    <row r="208" spans="2:11" x14ac:dyDescent="0.2">
      <c r="B208" s="12" t="s">
        <v>351</v>
      </c>
      <c r="C208" s="35">
        <v>2287</v>
      </c>
      <c r="D208" s="35">
        <v>76500</v>
      </c>
      <c r="E208" s="35">
        <v>64300</v>
      </c>
      <c r="F208" s="35">
        <v>60600</v>
      </c>
      <c r="G208" s="35">
        <v>51300</v>
      </c>
      <c r="H208" s="35">
        <v>433200</v>
      </c>
      <c r="I208" s="35">
        <v>109200</v>
      </c>
      <c r="J208" s="35">
        <v>302800</v>
      </c>
      <c r="K208" s="35">
        <v>37200</v>
      </c>
    </row>
    <row r="209" spans="2:11" s="208" customFormat="1" x14ac:dyDescent="0.2">
      <c r="B209" s="12" t="s">
        <v>352</v>
      </c>
      <c r="C209" s="35">
        <v>157</v>
      </c>
      <c r="D209" s="35">
        <v>86000</v>
      </c>
      <c r="E209" s="35">
        <v>71800</v>
      </c>
      <c r="F209" s="35">
        <v>63800</v>
      </c>
      <c r="G209" s="35">
        <v>53200</v>
      </c>
      <c r="H209" s="35">
        <v>437700</v>
      </c>
      <c r="I209" s="35">
        <v>344700</v>
      </c>
      <c r="J209" s="35">
        <v>208700</v>
      </c>
      <c r="K209" s="35">
        <v>36100</v>
      </c>
    </row>
    <row r="210" spans="2:11" x14ac:dyDescent="0.2">
      <c r="B210" s="12" t="s">
        <v>353</v>
      </c>
      <c r="C210" s="35">
        <v>91</v>
      </c>
      <c r="D210" s="35">
        <v>93400</v>
      </c>
      <c r="E210" s="35">
        <v>69500</v>
      </c>
      <c r="F210" s="35">
        <v>72000</v>
      </c>
      <c r="G210" s="35">
        <v>51100</v>
      </c>
      <c r="H210" s="35">
        <v>804300</v>
      </c>
      <c r="I210" s="35">
        <v>401700</v>
      </c>
      <c r="J210" s="35">
        <v>393300</v>
      </c>
      <c r="K210" s="35">
        <v>65900</v>
      </c>
    </row>
    <row r="211" spans="2:11" x14ac:dyDescent="0.2">
      <c r="B211" s="12" t="s">
        <v>354</v>
      </c>
      <c r="C211" s="35">
        <v>2025</v>
      </c>
      <c r="D211" s="35">
        <v>77100</v>
      </c>
      <c r="E211" s="35">
        <v>64100</v>
      </c>
      <c r="F211" s="35">
        <v>60500</v>
      </c>
      <c r="G211" s="35">
        <v>52200</v>
      </c>
      <c r="H211" s="35">
        <v>369200</v>
      </c>
      <c r="I211" s="35">
        <v>91600</v>
      </c>
      <c r="J211" s="35">
        <v>225800</v>
      </c>
      <c r="K211" s="35">
        <v>29600</v>
      </c>
    </row>
    <row r="212" spans="2:11" x14ac:dyDescent="0.2">
      <c r="B212" s="12" t="s">
        <v>355</v>
      </c>
      <c r="C212" s="35">
        <v>2075</v>
      </c>
      <c r="D212" s="35">
        <v>78600</v>
      </c>
      <c r="E212" s="35">
        <v>64600</v>
      </c>
      <c r="F212" s="35">
        <v>61800</v>
      </c>
      <c r="G212" s="35">
        <v>52100</v>
      </c>
      <c r="H212" s="35">
        <v>410000</v>
      </c>
      <c r="I212" s="35">
        <v>104100</v>
      </c>
      <c r="J212" s="35">
        <v>252500</v>
      </c>
      <c r="K212" s="35">
        <v>25700</v>
      </c>
    </row>
    <row r="213" spans="2:11" x14ac:dyDescent="0.2">
      <c r="B213" s="12" t="s">
        <v>356</v>
      </c>
      <c r="C213" s="35">
        <v>1277</v>
      </c>
      <c r="D213" s="35">
        <v>87800</v>
      </c>
      <c r="E213" s="35">
        <v>73500</v>
      </c>
      <c r="F213" s="35">
        <v>68100</v>
      </c>
      <c r="G213" s="35">
        <v>58200</v>
      </c>
      <c r="H213" s="35">
        <v>531400</v>
      </c>
      <c r="I213" s="35">
        <v>288400</v>
      </c>
      <c r="J213" s="35">
        <v>302100</v>
      </c>
      <c r="K213" s="35">
        <v>57900</v>
      </c>
    </row>
    <row r="214" spans="2:11" x14ac:dyDescent="0.2">
      <c r="B214" s="12" t="s">
        <v>357</v>
      </c>
      <c r="C214" s="35">
        <v>209</v>
      </c>
      <c r="D214" s="35">
        <v>84200</v>
      </c>
      <c r="E214" s="35">
        <v>70500</v>
      </c>
      <c r="F214" s="35">
        <v>65000</v>
      </c>
      <c r="G214" s="35">
        <v>57900</v>
      </c>
      <c r="H214" s="35">
        <v>455000</v>
      </c>
      <c r="I214" s="35">
        <v>228500</v>
      </c>
      <c r="J214" s="35">
        <v>250300</v>
      </c>
      <c r="K214" s="35">
        <v>28500</v>
      </c>
    </row>
    <row r="215" spans="2:11" x14ac:dyDescent="0.2">
      <c r="B215" s="12" t="s">
        <v>358</v>
      </c>
      <c r="C215" s="35">
        <v>459</v>
      </c>
      <c r="D215" s="35">
        <v>83000</v>
      </c>
      <c r="E215" s="35">
        <v>68600</v>
      </c>
      <c r="F215" s="35">
        <v>62500</v>
      </c>
      <c r="G215" s="35">
        <v>51800</v>
      </c>
      <c r="H215" s="35">
        <v>535300</v>
      </c>
      <c r="I215" s="35">
        <v>416500</v>
      </c>
      <c r="J215" s="35">
        <v>329300</v>
      </c>
      <c r="K215" s="35">
        <v>80100</v>
      </c>
    </row>
    <row r="216" spans="2:11" x14ac:dyDescent="0.2">
      <c r="B216" s="12" t="s">
        <v>359</v>
      </c>
      <c r="C216" s="35">
        <v>223</v>
      </c>
      <c r="D216" s="35">
        <v>80600</v>
      </c>
      <c r="E216" s="35">
        <v>68800</v>
      </c>
      <c r="F216" s="35">
        <v>61600</v>
      </c>
      <c r="G216" s="35">
        <v>54500</v>
      </c>
      <c r="H216" s="35">
        <v>381700</v>
      </c>
      <c r="I216" s="35">
        <v>115900</v>
      </c>
      <c r="J216" s="35">
        <v>214700</v>
      </c>
      <c r="K216" s="35">
        <v>36300</v>
      </c>
    </row>
    <row r="217" spans="2:11" x14ac:dyDescent="0.2">
      <c r="B217" s="12" t="s">
        <v>360</v>
      </c>
      <c r="C217" s="35">
        <v>1873</v>
      </c>
      <c r="D217" s="35">
        <v>79900</v>
      </c>
      <c r="E217" s="35">
        <v>66700</v>
      </c>
      <c r="F217" s="35">
        <v>62400</v>
      </c>
      <c r="G217" s="35">
        <v>52500</v>
      </c>
      <c r="H217" s="35">
        <v>431600</v>
      </c>
      <c r="I217" s="35">
        <v>126100</v>
      </c>
      <c r="J217" s="35">
        <v>262000</v>
      </c>
      <c r="K217" s="35">
        <v>37400</v>
      </c>
    </row>
    <row r="218" spans="2:11" x14ac:dyDescent="0.2">
      <c r="B218" s="12" t="s">
        <v>361</v>
      </c>
      <c r="C218" s="35">
        <v>852</v>
      </c>
      <c r="D218" s="35">
        <v>70600</v>
      </c>
      <c r="E218" s="35">
        <v>63200</v>
      </c>
      <c r="F218" s="35">
        <v>54600</v>
      </c>
      <c r="G218" s="35">
        <v>50500</v>
      </c>
      <c r="H218" s="35">
        <v>276900</v>
      </c>
      <c r="I218" s="35">
        <v>74600</v>
      </c>
      <c r="J218" s="35">
        <v>144400</v>
      </c>
      <c r="K218" s="35">
        <v>22300</v>
      </c>
    </row>
    <row r="219" spans="2:11" x14ac:dyDescent="0.2">
      <c r="B219" s="220" t="s">
        <v>362</v>
      </c>
      <c r="C219" s="35">
        <v>687</v>
      </c>
      <c r="D219" s="35">
        <v>77800</v>
      </c>
      <c r="E219" s="35">
        <v>67000</v>
      </c>
      <c r="F219" s="35">
        <v>61400</v>
      </c>
      <c r="G219" s="35">
        <v>53700</v>
      </c>
      <c r="H219" s="35">
        <v>454800</v>
      </c>
      <c r="I219" s="35">
        <v>210300</v>
      </c>
      <c r="J219" s="35">
        <v>316100</v>
      </c>
      <c r="K219" s="35">
        <v>68400</v>
      </c>
    </row>
    <row r="220" spans="2:11" x14ac:dyDescent="0.2">
      <c r="B220" s="220" t="s">
        <v>524</v>
      </c>
      <c r="C220" s="35">
        <v>1387</v>
      </c>
      <c r="D220" s="35">
        <v>91200</v>
      </c>
      <c r="E220" s="35">
        <v>74000</v>
      </c>
      <c r="F220" s="35">
        <v>70800</v>
      </c>
      <c r="G220" s="35">
        <v>59200</v>
      </c>
      <c r="H220" s="35">
        <v>579500</v>
      </c>
      <c r="I220" s="35">
        <v>222800</v>
      </c>
      <c r="J220" s="35">
        <v>350200</v>
      </c>
      <c r="K220" s="35">
        <v>44600</v>
      </c>
    </row>
    <row r="221" spans="2:11" x14ac:dyDescent="0.2">
      <c r="B221" s="220" t="s">
        <v>363</v>
      </c>
      <c r="C221" s="35">
        <v>1183</v>
      </c>
      <c r="D221" s="35">
        <v>77600</v>
      </c>
      <c r="E221" s="35">
        <v>66100</v>
      </c>
      <c r="F221" s="35">
        <v>59800</v>
      </c>
      <c r="G221" s="35">
        <v>51100</v>
      </c>
      <c r="H221" s="35">
        <v>429700</v>
      </c>
      <c r="I221" s="35">
        <v>300400</v>
      </c>
      <c r="J221" s="35">
        <v>241000</v>
      </c>
      <c r="K221" s="35">
        <v>57900</v>
      </c>
    </row>
    <row r="222" spans="2:11" x14ac:dyDescent="0.2">
      <c r="B222" s="220" t="s">
        <v>364</v>
      </c>
      <c r="C222" s="35">
        <v>126</v>
      </c>
      <c r="D222" s="35">
        <v>80400</v>
      </c>
      <c r="E222" s="35">
        <v>69700</v>
      </c>
      <c r="F222" s="35">
        <v>61800</v>
      </c>
      <c r="G222" s="35">
        <v>52500</v>
      </c>
      <c r="H222" s="35">
        <v>557800</v>
      </c>
      <c r="I222" s="35">
        <v>365100</v>
      </c>
      <c r="J222" s="35">
        <v>353800</v>
      </c>
      <c r="K222" s="35">
        <v>101100</v>
      </c>
    </row>
    <row r="223" spans="2:11" x14ac:dyDescent="0.2">
      <c r="B223" s="220" t="s">
        <v>525</v>
      </c>
      <c r="C223" s="35">
        <v>518</v>
      </c>
      <c r="D223" s="35">
        <v>74300</v>
      </c>
      <c r="E223" s="35">
        <v>66200</v>
      </c>
      <c r="F223" s="35">
        <v>55500</v>
      </c>
      <c r="G223" s="35">
        <v>50100</v>
      </c>
      <c r="H223" s="35">
        <v>341800</v>
      </c>
      <c r="I223" s="35">
        <v>220700</v>
      </c>
      <c r="J223" s="35">
        <v>160700</v>
      </c>
      <c r="K223" s="35">
        <v>14900</v>
      </c>
    </row>
    <row r="224" spans="2:11" x14ac:dyDescent="0.2">
      <c r="B224" s="220" t="s">
        <v>365</v>
      </c>
      <c r="C224" s="35">
        <v>371</v>
      </c>
      <c r="D224" s="35">
        <v>77100</v>
      </c>
      <c r="E224" s="35">
        <v>70800</v>
      </c>
      <c r="F224" s="35">
        <v>58500</v>
      </c>
      <c r="G224" s="35">
        <v>54700</v>
      </c>
      <c r="H224" s="35">
        <v>345100</v>
      </c>
      <c r="I224" s="35">
        <v>192300</v>
      </c>
      <c r="J224" s="35">
        <v>161300</v>
      </c>
      <c r="K224" s="35">
        <v>14400</v>
      </c>
    </row>
    <row r="225" spans="2:11" x14ac:dyDescent="0.2">
      <c r="B225" s="220" t="s">
        <v>366</v>
      </c>
      <c r="C225" s="35">
        <v>131</v>
      </c>
      <c r="D225" s="35">
        <v>74800</v>
      </c>
      <c r="E225" s="35">
        <v>67300</v>
      </c>
      <c r="F225" s="35">
        <v>54700</v>
      </c>
      <c r="G225" s="35">
        <v>51500</v>
      </c>
      <c r="H225" s="35">
        <v>346400</v>
      </c>
      <c r="I225" s="35">
        <v>58700</v>
      </c>
      <c r="J225" s="35">
        <v>194600</v>
      </c>
      <c r="K225" s="35">
        <v>14400</v>
      </c>
    </row>
    <row r="226" spans="2:11" x14ac:dyDescent="0.2">
      <c r="B226" s="220" t="s">
        <v>367</v>
      </c>
      <c r="C226" s="35">
        <v>753</v>
      </c>
      <c r="D226" s="35">
        <v>93500</v>
      </c>
      <c r="E226" s="35">
        <v>76900</v>
      </c>
      <c r="F226" s="35">
        <v>72400</v>
      </c>
      <c r="G226" s="35">
        <v>60900</v>
      </c>
      <c r="H226" s="35">
        <v>611000</v>
      </c>
      <c r="I226" s="35">
        <v>448500</v>
      </c>
      <c r="J226" s="35">
        <v>352100</v>
      </c>
      <c r="K226" s="35">
        <v>102200</v>
      </c>
    </row>
    <row r="227" spans="2:11" x14ac:dyDescent="0.2">
      <c r="B227" s="220" t="s">
        <v>368</v>
      </c>
      <c r="C227" s="35">
        <v>350</v>
      </c>
      <c r="D227" s="35">
        <v>86700</v>
      </c>
      <c r="E227" s="35">
        <v>74300</v>
      </c>
      <c r="F227" s="35">
        <v>64400</v>
      </c>
      <c r="G227" s="35">
        <v>55200</v>
      </c>
      <c r="H227" s="35">
        <v>448300</v>
      </c>
      <c r="I227" s="35">
        <v>287600</v>
      </c>
      <c r="J227" s="35">
        <v>187500</v>
      </c>
      <c r="K227" s="35">
        <v>29600</v>
      </c>
    </row>
    <row r="228" spans="2:11" x14ac:dyDescent="0.2">
      <c r="B228" s="220" t="s">
        <v>369</v>
      </c>
      <c r="C228" s="35">
        <v>605</v>
      </c>
      <c r="D228" s="35">
        <v>91800</v>
      </c>
      <c r="E228" s="35">
        <v>74600</v>
      </c>
      <c r="F228" s="35">
        <v>70800</v>
      </c>
      <c r="G228" s="35">
        <v>59000</v>
      </c>
      <c r="H228" s="35">
        <v>601400</v>
      </c>
      <c r="I228" s="35">
        <v>289500</v>
      </c>
      <c r="J228" s="35">
        <v>351000</v>
      </c>
      <c r="K228" s="35">
        <v>61600</v>
      </c>
    </row>
    <row r="229" spans="2:11" x14ac:dyDescent="0.2">
      <c r="B229" s="220" t="s">
        <v>370</v>
      </c>
      <c r="C229" s="35">
        <v>187</v>
      </c>
      <c r="D229" s="35">
        <v>79100</v>
      </c>
      <c r="E229" s="35">
        <v>68000</v>
      </c>
      <c r="F229" s="35">
        <v>59900</v>
      </c>
      <c r="G229" s="35">
        <v>52100</v>
      </c>
      <c r="H229" s="35">
        <v>416200</v>
      </c>
      <c r="I229" s="35">
        <v>237900</v>
      </c>
      <c r="J229" s="35">
        <v>212800</v>
      </c>
      <c r="K229" s="35">
        <v>63500</v>
      </c>
    </row>
    <row r="230" spans="2:11" x14ac:dyDescent="0.2">
      <c r="B230" s="6"/>
      <c r="C230" s="119"/>
      <c r="D230" s="119"/>
      <c r="E230" s="119"/>
      <c r="F230" s="119"/>
      <c r="G230" s="119"/>
      <c r="H230" s="119"/>
      <c r="I230" s="119"/>
      <c r="J230" s="119"/>
      <c r="K230" s="119"/>
    </row>
    <row r="231" spans="2:11" s="195" customFormat="1" x14ac:dyDescent="0.2">
      <c r="B231" s="163"/>
      <c r="C231" s="112"/>
      <c r="D231" s="112"/>
      <c r="E231" s="112"/>
      <c r="F231" s="112"/>
      <c r="G231" s="112"/>
      <c r="H231" s="112"/>
      <c r="I231" s="112"/>
      <c r="J231" s="112"/>
      <c r="K231" s="112"/>
    </row>
    <row r="232" spans="2:11" ht="40.5" customHeight="1" x14ac:dyDescent="0.2">
      <c r="B232" s="355" t="s">
        <v>655</v>
      </c>
      <c r="C232" s="338"/>
      <c r="D232" s="338"/>
      <c r="E232" s="338"/>
      <c r="F232" s="338"/>
      <c r="G232" s="338"/>
      <c r="H232" s="338"/>
      <c r="I232" s="338"/>
      <c r="J232" s="338"/>
      <c r="K232" s="338"/>
    </row>
    <row r="233" spans="2:11" ht="41.25" customHeight="1" x14ac:dyDescent="0.2">
      <c r="B233" s="355" t="s">
        <v>667</v>
      </c>
      <c r="C233" s="338"/>
      <c r="D233" s="338"/>
      <c r="E233" s="338"/>
      <c r="F233" s="338"/>
      <c r="G233" s="338"/>
      <c r="H233" s="338"/>
      <c r="I233" s="338"/>
      <c r="J233" s="338"/>
      <c r="K233" s="338"/>
    </row>
    <row r="234" spans="2:11" ht="54.75" customHeight="1" x14ac:dyDescent="0.2">
      <c r="B234" s="354" t="s">
        <v>676</v>
      </c>
      <c r="C234" s="354"/>
      <c r="D234" s="354"/>
      <c r="E234" s="354"/>
      <c r="F234" s="354"/>
      <c r="G234" s="354"/>
      <c r="H234" s="354"/>
      <c r="I234" s="354"/>
      <c r="J234" s="354"/>
      <c r="K234" s="354"/>
    </row>
    <row r="235" spans="2:11" x14ac:dyDescent="0.2">
      <c r="B235" s="244"/>
      <c r="C235" s="112"/>
      <c r="D235" s="112"/>
      <c r="E235" s="112"/>
      <c r="F235" s="112"/>
      <c r="G235" s="112"/>
      <c r="H235" s="112"/>
      <c r="I235" s="112"/>
      <c r="J235" s="112"/>
      <c r="K235" s="112"/>
    </row>
    <row r="236" spans="2:11" x14ac:dyDescent="0.2">
      <c r="B236" s="6"/>
      <c r="C236" s="112"/>
      <c r="D236" s="112"/>
      <c r="E236" s="112"/>
      <c r="F236" s="112"/>
      <c r="G236" s="112"/>
      <c r="H236" s="112"/>
      <c r="I236" s="112"/>
      <c r="J236" s="112"/>
      <c r="K236" s="112"/>
    </row>
    <row r="237" spans="2:11" x14ac:dyDescent="0.2">
      <c r="B237" s="6"/>
      <c r="C237" s="112"/>
      <c r="D237" s="112"/>
      <c r="E237" s="112"/>
      <c r="F237" s="112"/>
      <c r="G237" s="112"/>
      <c r="H237" s="112"/>
      <c r="I237" s="112"/>
      <c r="J237" s="112"/>
      <c r="K237" s="112"/>
    </row>
    <row r="238" spans="2:11" x14ac:dyDescent="0.2">
      <c r="B238" s="6"/>
      <c r="C238" s="112"/>
      <c r="D238" s="112"/>
      <c r="E238" s="112"/>
      <c r="F238" s="112"/>
      <c r="G238" s="112"/>
      <c r="H238" s="112"/>
      <c r="I238" s="112"/>
      <c r="J238" s="112"/>
      <c r="K238" s="112"/>
    </row>
    <row r="239" spans="2:11" x14ac:dyDescent="0.2">
      <c r="B239" s="6"/>
      <c r="C239" s="112"/>
      <c r="D239" s="112"/>
      <c r="E239" s="112"/>
      <c r="F239" s="112"/>
      <c r="G239" s="112"/>
      <c r="H239" s="112"/>
      <c r="I239" s="112"/>
      <c r="J239" s="112"/>
      <c r="K239" s="112"/>
    </row>
  </sheetData>
  <mergeCells count="8">
    <mergeCell ref="B234:K234"/>
    <mergeCell ref="B233:K233"/>
    <mergeCell ref="B232:K232"/>
    <mergeCell ref="B3:B4"/>
    <mergeCell ref="D3:E3"/>
    <mergeCell ref="F3:G3"/>
    <mergeCell ref="H3:I3"/>
    <mergeCell ref="J3:K3"/>
  </mergeCells>
  <pageMargins left="0.78740157480314965" right="0.78740157480314965" top="0.98425196850393704" bottom="0.98425196850393704" header="0.51181102362204722" footer="0.51181102362204722"/>
  <pageSetup paperSize="9" fitToHeight="0" orientation="landscape" r:id="rId1"/>
  <headerFooter alignWithMargins="0"/>
  <rowBreaks count="3" manualBreakCount="3">
    <brk id="34" max="10" man="1"/>
    <brk id="70" max="10" man="1"/>
    <brk id="106"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897E"/>
    <pageSetUpPr fitToPage="1"/>
  </sheetPr>
  <dimension ref="B1:AE240"/>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44" customWidth="1"/>
    <col min="2" max="2" width="19" style="144" bestFit="1" customWidth="1"/>
    <col min="3" max="3" width="11.42578125" style="144" customWidth="1"/>
    <col min="4" max="13" width="12.7109375" style="144" customWidth="1"/>
    <col min="14" max="14" width="6.5703125" style="144" customWidth="1"/>
    <col min="15" max="15" width="3.85546875" style="144" customWidth="1"/>
    <col min="16" max="16384" width="11.42578125" style="144"/>
  </cols>
  <sheetData>
    <row r="1" spans="2:31" s="11" customFormat="1" ht="15.75" x14ac:dyDescent="0.2">
      <c r="B1" s="186" t="str">
        <f>Inhaltsverzeichnis!B66&amp;" "&amp;Inhaltsverzeichnis!C66&amp;" "&amp;Inhaltsverzeichnis!E66</f>
        <v>Tabelle 28: Steuerpflichtige mit Wohnsitz im Kanton Aargau nach Einkommens- und Vermögensstufen und Gemeinden, in Prozent, 2014</v>
      </c>
      <c r="C1" s="186"/>
      <c r="D1" s="186"/>
      <c r="E1" s="187"/>
      <c r="F1" s="187"/>
      <c r="G1" s="187"/>
      <c r="H1" s="187"/>
      <c r="I1" s="187"/>
      <c r="J1" s="187"/>
      <c r="K1" s="187"/>
      <c r="L1" s="187"/>
      <c r="M1" s="187"/>
      <c r="N1" s="187"/>
      <c r="O1" s="187"/>
      <c r="P1" s="187"/>
      <c r="Q1" s="187"/>
      <c r="R1" s="187"/>
      <c r="S1" s="187"/>
      <c r="T1" s="187"/>
      <c r="U1" s="187"/>
      <c r="V1" s="143"/>
      <c r="W1" s="143"/>
      <c r="X1" s="143"/>
      <c r="Y1" s="143"/>
      <c r="Z1" s="143"/>
      <c r="AA1" s="143"/>
      <c r="AB1" s="143"/>
      <c r="AC1" s="143"/>
      <c r="AD1" s="143"/>
      <c r="AE1" s="143"/>
    </row>
    <row r="3" spans="2:31" s="145" customFormat="1" ht="27" customHeight="1" x14ac:dyDescent="0.2">
      <c r="B3" s="284" t="s">
        <v>168</v>
      </c>
      <c r="C3" s="359" t="s">
        <v>669</v>
      </c>
      <c r="D3" s="356" t="s">
        <v>546</v>
      </c>
      <c r="E3" s="290"/>
      <c r="F3" s="290"/>
      <c r="G3" s="290"/>
      <c r="H3" s="281"/>
      <c r="I3" s="311" t="s">
        <v>547</v>
      </c>
      <c r="J3" s="357"/>
      <c r="K3" s="357"/>
      <c r="L3" s="357"/>
      <c r="M3" s="358"/>
    </row>
    <row r="4" spans="2:31" ht="15" customHeight="1" x14ac:dyDescent="0.2">
      <c r="B4" s="285"/>
      <c r="C4" s="360"/>
      <c r="D4" s="102" t="s">
        <v>656</v>
      </c>
      <c r="E4" s="146" t="s">
        <v>570</v>
      </c>
      <c r="F4" s="146" t="s">
        <v>571</v>
      </c>
      <c r="G4" s="146" t="s">
        <v>572</v>
      </c>
      <c r="H4" s="146" t="s">
        <v>481</v>
      </c>
      <c r="I4" s="146" t="s">
        <v>573</v>
      </c>
      <c r="J4" s="146" t="s">
        <v>571</v>
      </c>
      <c r="K4" s="146" t="s">
        <v>454</v>
      </c>
      <c r="L4" s="146" t="s">
        <v>574</v>
      </c>
      <c r="M4" s="146" t="s">
        <v>482</v>
      </c>
    </row>
    <row r="5" spans="2:31" x14ac:dyDescent="0.2">
      <c r="B5" s="218" t="s">
        <v>171</v>
      </c>
      <c r="C5" s="223">
        <v>350015</v>
      </c>
      <c r="D5" s="224">
        <v>18.849192179999999</v>
      </c>
      <c r="E5" s="224">
        <v>25.64147251</v>
      </c>
      <c r="F5" s="224">
        <v>38.454351959999997</v>
      </c>
      <c r="G5" s="224">
        <v>11.55779038</v>
      </c>
      <c r="H5" s="224">
        <v>5.4971929770000001</v>
      </c>
      <c r="I5" s="224">
        <v>53.466565719999998</v>
      </c>
      <c r="J5" s="224">
        <v>9.1887490540000005</v>
      </c>
      <c r="K5" s="224">
        <v>9.5587331970000005</v>
      </c>
      <c r="L5" s="224">
        <v>13.27171693</v>
      </c>
      <c r="M5" s="224">
        <v>14.514235100000001</v>
      </c>
    </row>
    <row r="6" spans="2:31" x14ac:dyDescent="0.2">
      <c r="B6" s="218" t="s">
        <v>172</v>
      </c>
      <c r="C6" s="223">
        <v>30296</v>
      </c>
      <c r="D6" s="224">
        <v>18.68563507</v>
      </c>
      <c r="E6" s="224">
        <v>25.036308420000001</v>
      </c>
      <c r="F6" s="224">
        <v>39.450752569999999</v>
      </c>
      <c r="G6" s="224">
        <v>11.62529707</v>
      </c>
      <c r="H6" s="224">
        <v>5.2020068659999996</v>
      </c>
      <c r="I6" s="224">
        <v>52.10918933</v>
      </c>
      <c r="J6" s="224">
        <v>9.3444679169999993</v>
      </c>
      <c r="K6" s="224">
        <v>9.9287034589999994</v>
      </c>
      <c r="L6" s="224">
        <v>13.4836282</v>
      </c>
      <c r="M6" s="224">
        <v>15.13401109</v>
      </c>
    </row>
    <row r="7" spans="2:31" ht="14.25" x14ac:dyDescent="0.2">
      <c r="B7" s="12" t="s">
        <v>665</v>
      </c>
      <c r="C7" s="225" t="s">
        <v>663</v>
      </c>
      <c r="D7" s="225" t="s">
        <v>663</v>
      </c>
      <c r="E7" s="225" t="s">
        <v>663</v>
      </c>
      <c r="F7" s="225" t="s">
        <v>663</v>
      </c>
      <c r="G7" s="225" t="s">
        <v>663</v>
      </c>
      <c r="H7" s="225" t="s">
        <v>663</v>
      </c>
      <c r="I7" s="225" t="s">
        <v>663</v>
      </c>
      <c r="J7" s="225" t="s">
        <v>663</v>
      </c>
      <c r="K7" s="225" t="s">
        <v>663</v>
      </c>
      <c r="L7" s="225" t="s">
        <v>663</v>
      </c>
      <c r="M7" s="225" t="s">
        <v>663</v>
      </c>
    </row>
    <row r="8" spans="2:31" x14ac:dyDescent="0.2">
      <c r="B8" s="226" t="s">
        <v>173</v>
      </c>
      <c r="C8" s="121">
        <v>873</v>
      </c>
      <c r="D8" s="227">
        <v>15.120274909999999</v>
      </c>
      <c r="E8" s="227">
        <v>17.296678119999999</v>
      </c>
      <c r="F8" s="227">
        <v>41.351660940000002</v>
      </c>
      <c r="G8" s="227">
        <v>14.318442149999999</v>
      </c>
      <c r="H8" s="227">
        <v>11.912943869999999</v>
      </c>
      <c r="I8" s="227">
        <v>41.008018329999999</v>
      </c>
      <c r="J8" s="227">
        <v>8.3619702179999997</v>
      </c>
      <c r="K8" s="227">
        <v>9.7365406639999996</v>
      </c>
      <c r="L8" s="227">
        <v>16.72394044</v>
      </c>
      <c r="M8" s="227">
        <v>24.16953036</v>
      </c>
    </row>
    <row r="9" spans="2:31" x14ac:dyDescent="0.2">
      <c r="B9" s="226" t="s">
        <v>505</v>
      </c>
      <c r="C9" s="121">
        <v>4304</v>
      </c>
      <c r="D9" s="227">
        <v>17.33271375</v>
      </c>
      <c r="E9" s="227">
        <v>24.697955390000001</v>
      </c>
      <c r="F9" s="227">
        <v>42.588289959999997</v>
      </c>
      <c r="G9" s="227">
        <v>11.10594796</v>
      </c>
      <c r="H9" s="227">
        <v>4.2750929370000001</v>
      </c>
      <c r="I9" s="227">
        <v>54.67007435</v>
      </c>
      <c r="J9" s="227">
        <v>10.87360595</v>
      </c>
      <c r="K9" s="227">
        <v>10.47862454</v>
      </c>
      <c r="L9" s="227">
        <v>12.337360589999999</v>
      </c>
      <c r="M9" s="227">
        <v>11.64033457</v>
      </c>
    </row>
    <row r="10" spans="2:31" x14ac:dyDescent="0.2">
      <c r="B10" s="226" t="s">
        <v>174</v>
      </c>
      <c r="C10" s="121">
        <v>408</v>
      </c>
      <c r="D10" s="227">
        <v>23.284313730000001</v>
      </c>
      <c r="E10" s="227">
        <v>29.41176471</v>
      </c>
      <c r="F10" s="227">
        <v>35.539215689999999</v>
      </c>
      <c r="G10" s="227">
        <v>7.5980392160000001</v>
      </c>
      <c r="H10" s="227">
        <v>4.1666666670000003</v>
      </c>
      <c r="I10" s="227">
        <v>47.549019610000002</v>
      </c>
      <c r="J10" s="227">
        <v>7.8431372550000003</v>
      </c>
      <c r="K10" s="227">
        <v>7.5980392160000001</v>
      </c>
      <c r="L10" s="227">
        <v>21.078431370000001</v>
      </c>
      <c r="M10" s="227">
        <v>15.931372550000001</v>
      </c>
    </row>
    <row r="11" spans="2:31" x14ac:dyDescent="0.2">
      <c r="B11" s="226" t="s">
        <v>506</v>
      </c>
      <c r="C11" s="121">
        <v>2206</v>
      </c>
      <c r="D11" s="227">
        <v>17.497733449999998</v>
      </c>
      <c r="E11" s="227">
        <v>21.260199459999999</v>
      </c>
      <c r="F11" s="227">
        <v>39.0299184</v>
      </c>
      <c r="G11" s="227">
        <v>13.73526745</v>
      </c>
      <c r="H11" s="227">
        <v>8.4768812330000003</v>
      </c>
      <c r="I11" s="227">
        <v>48.322756120000001</v>
      </c>
      <c r="J11" s="227">
        <v>8.0235720760000007</v>
      </c>
      <c r="K11" s="227">
        <v>9.4288304620000005</v>
      </c>
      <c r="L11" s="227">
        <v>14.05258386</v>
      </c>
      <c r="M11" s="227">
        <v>20.172257479999999</v>
      </c>
    </row>
    <row r="12" spans="2:31" x14ac:dyDescent="0.2">
      <c r="B12" s="226" t="s">
        <v>175</v>
      </c>
      <c r="C12" s="121">
        <v>4082</v>
      </c>
      <c r="D12" s="227">
        <v>18.373346399999999</v>
      </c>
      <c r="E12" s="227">
        <v>24.963253309999999</v>
      </c>
      <c r="F12" s="227">
        <v>41.474767270000001</v>
      </c>
      <c r="G12" s="227">
        <v>11.758941699999999</v>
      </c>
      <c r="H12" s="227">
        <v>3.4296913280000001</v>
      </c>
      <c r="I12" s="227">
        <v>52.302792750000002</v>
      </c>
      <c r="J12" s="227">
        <v>9.0886820190000002</v>
      </c>
      <c r="K12" s="227">
        <v>10.11758942</v>
      </c>
      <c r="L12" s="227">
        <v>13.596276339999999</v>
      </c>
      <c r="M12" s="227">
        <v>14.89465948</v>
      </c>
    </row>
    <row r="13" spans="2:31" x14ac:dyDescent="0.2">
      <c r="B13" s="226" t="s">
        <v>176</v>
      </c>
      <c r="C13" s="121">
        <v>884</v>
      </c>
      <c r="D13" s="227">
        <v>15.950226239999999</v>
      </c>
      <c r="E13" s="227">
        <v>23.981900450000001</v>
      </c>
      <c r="F13" s="227">
        <v>40.837104070000002</v>
      </c>
      <c r="G13" s="227">
        <v>12.443438909999999</v>
      </c>
      <c r="H13" s="227">
        <v>6.7873303170000003</v>
      </c>
      <c r="I13" s="227">
        <v>52.488687779999999</v>
      </c>
      <c r="J13" s="227">
        <v>8.0316742080000001</v>
      </c>
      <c r="K13" s="227">
        <v>8.8235294119999992</v>
      </c>
      <c r="L13" s="227">
        <v>13.348416289999999</v>
      </c>
      <c r="M13" s="227">
        <v>17.30769231</v>
      </c>
    </row>
    <row r="14" spans="2:31" x14ac:dyDescent="0.2">
      <c r="B14" s="226" t="s">
        <v>177</v>
      </c>
      <c r="C14" s="121">
        <v>3458</v>
      </c>
      <c r="D14" s="227">
        <v>18.710237129999999</v>
      </c>
      <c r="E14" s="227">
        <v>22.498554080000002</v>
      </c>
      <c r="F14" s="227">
        <v>36.350491609999999</v>
      </c>
      <c r="G14" s="227">
        <v>14.11220359</v>
      </c>
      <c r="H14" s="227">
        <v>8.3285135920000002</v>
      </c>
      <c r="I14" s="227">
        <v>47.397339500000001</v>
      </c>
      <c r="J14" s="227">
        <v>8.8779641409999996</v>
      </c>
      <c r="K14" s="227">
        <v>10.46847889</v>
      </c>
      <c r="L14" s="227">
        <v>13.273568539999999</v>
      </c>
      <c r="M14" s="227">
        <v>19.98264893</v>
      </c>
    </row>
    <row r="15" spans="2:31" x14ac:dyDescent="0.2">
      <c r="B15" s="226" t="s">
        <v>178</v>
      </c>
      <c r="C15" s="121">
        <v>2131</v>
      </c>
      <c r="D15" s="227">
        <v>18.348193340000002</v>
      </c>
      <c r="E15" s="227">
        <v>27.029563589999999</v>
      </c>
      <c r="F15" s="227">
        <v>38.338808069999999</v>
      </c>
      <c r="G15" s="227">
        <v>11.637728770000001</v>
      </c>
      <c r="H15" s="227">
        <v>4.6457062410000001</v>
      </c>
      <c r="I15" s="227">
        <v>48.70952604</v>
      </c>
      <c r="J15" s="227">
        <v>9.5260441109999991</v>
      </c>
      <c r="K15" s="227">
        <v>11.07461286</v>
      </c>
      <c r="L15" s="227">
        <v>15.81417175</v>
      </c>
      <c r="M15" s="227">
        <v>14.875645240000001</v>
      </c>
    </row>
    <row r="16" spans="2:31" x14ac:dyDescent="0.2">
      <c r="B16" s="226" t="s">
        <v>179</v>
      </c>
      <c r="C16" s="121">
        <v>4325</v>
      </c>
      <c r="D16" s="227">
        <v>20.485549129999999</v>
      </c>
      <c r="E16" s="227">
        <v>27.491329480000001</v>
      </c>
      <c r="F16" s="227">
        <v>38.589595379999999</v>
      </c>
      <c r="G16" s="227">
        <v>10.1734104</v>
      </c>
      <c r="H16" s="227">
        <v>3.2601156069999999</v>
      </c>
      <c r="I16" s="227">
        <v>55.005780350000002</v>
      </c>
      <c r="J16" s="227">
        <v>9.4104046239999999</v>
      </c>
      <c r="K16" s="227">
        <v>9.3410404620000005</v>
      </c>
      <c r="L16" s="227">
        <v>13.17919075</v>
      </c>
      <c r="M16" s="227">
        <v>13.06358382</v>
      </c>
    </row>
    <row r="17" spans="2:13" x14ac:dyDescent="0.2">
      <c r="B17" s="226" t="s">
        <v>180</v>
      </c>
      <c r="C17" s="121">
        <v>5379</v>
      </c>
      <c r="D17" s="227">
        <v>20.654396729999998</v>
      </c>
      <c r="E17" s="227">
        <v>26.71500279</v>
      </c>
      <c r="F17" s="227">
        <v>38.073991450000001</v>
      </c>
      <c r="G17" s="227">
        <v>10.05763153</v>
      </c>
      <c r="H17" s="227">
        <v>4.498977505</v>
      </c>
      <c r="I17" s="227">
        <v>56.292991260000001</v>
      </c>
      <c r="J17" s="227">
        <v>9.4069529650000003</v>
      </c>
      <c r="K17" s="227">
        <v>9.7044060230000007</v>
      </c>
      <c r="L17" s="227">
        <v>12.34430191</v>
      </c>
      <c r="M17" s="227">
        <v>12.25134783</v>
      </c>
    </row>
    <row r="18" spans="2:13" x14ac:dyDescent="0.2">
      <c r="B18" s="226" t="s">
        <v>181</v>
      </c>
      <c r="C18" s="121">
        <v>2246</v>
      </c>
      <c r="D18" s="227">
        <v>16.740872660000001</v>
      </c>
      <c r="E18" s="227">
        <v>25.422974180000001</v>
      </c>
      <c r="F18" s="227">
        <v>40.382902940000001</v>
      </c>
      <c r="G18" s="227">
        <v>12.377560109999999</v>
      </c>
      <c r="H18" s="227">
        <v>5.0756901159999996</v>
      </c>
      <c r="I18" s="227">
        <v>50.44523598</v>
      </c>
      <c r="J18" s="227">
        <v>9.6170970610000008</v>
      </c>
      <c r="K18" s="227">
        <v>9.706144256</v>
      </c>
      <c r="L18" s="227">
        <v>13.75779163</v>
      </c>
      <c r="M18" s="227">
        <v>16.47373108</v>
      </c>
    </row>
    <row r="19" spans="2:13" x14ac:dyDescent="0.2">
      <c r="B19" s="228" t="s">
        <v>182</v>
      </c>
      <c r="C19" s="223">
        <v>77790</v>
      </c>
      <c r="D19" s="224">
        <v>18.51523332</v>
      </c>
      <c r="E19" s="224">
        <v>23.726700090000001</v>
      </c>
      <c r="F19" s="224">
        <v>38.132150660000001</v>
      </c>
      <c r="G19" s="224">
        <v>12.661010409999999</v>
      </c>
      <c r="H19" s="224">
        <v>6.9649055149999999</v>
      </c>
      <c r="I19" s="224">
        <v>53.550584909999998</v>
      </c>
      <c r="J19" s="224">
        <v>9.1142820409999992</v>
      </c>
      <c r="K19" s="224">
        <v>9.5115053350000007</v>
      </c>
      <c r="L19" s="224">
        <v>12.89240262</v>
      </c>
      <c r="M19" s="224">
        <v>14.93122509</v>
      </c>
    </row>
    <row r="20" spans="2:13" x14ac:dyDescent="0.2">
      <c r="B20" s="226" t="s">
        <v>183</v>
      </c>
      <c r="C20" s="121">
        <v>11260</v>
      </c>
      <c r="D20" s="227">
        <v>18.401420959999999</v>
      </c>
      <c r="E20" s="227">
        <v>22.166962699999999</v>
      </c>
      <c r="F20" s="227">
        <v>37.850799289999998</v>
      </c>
      <c r="G20" s="227">
        <v>13.07282416</v>
      </c>
      <c r="H20" s="227">
        <v>8.5079928949999992</v>
      </c>
      <c r="I20" s="227">
        <v>51.980461810000001</v>
      </c>
      <c r="J20" s="227">
        <v>10.08880995</v>
      </c>
      <c r="K20" s="227">
        <v>10.381882770000001</v>
      </c>
      <c r="L20" s="227">
        <v>12.921847250000001</v>
      </c>
      <c r="M20" s="227">
        <v>14.626998220000001</v>
      </c>
    </row>
    <row r="21" spans="2:13" x14ac:dyDescent="0.2">
      <c r="B21" s="226" t="s">
        <v>184</v>
      </c>
      <c r="C21" s="121">
        <v>901</v>
      </c>
      <c r="D21" s="227">
        <v>15.09433962</v>
      </c>
      <c r="E21" s="227">
        <v>18.312985569999999</v>
      </c>
      <c r="F21" s="227">
        <v>36.73695893</v>
      </c>
      <c r="G21" s="227">
        <v>17.31409545</v>
      </c>
      <c r="H21" s="227">
        <v>12.541620419999999</v>
      </c>
      <c r="I21" s="227">
        <v>44.617092120000002</v>
      </c>
      <c r="J21" s="227">
        <v>9.766925638</v>
      </c>
      <c r="K21" s="227">
        <v>10.432852390000001</v>
      </c>
      <c r="L21" s="227">
        <v>13.65149834</v>
      </c>
      <c r="M21" s="227">
        <v>21.531631520000001</v>
      </c>
    </row>
    <row r="22" spans="2:13" x14ac:dyDescent="0.2">
      <c r="B22" s="226" t="s">
        <v>185</v>
      </c>
      <c r="C22" s="121">
        <v>1509</v>
      </c>
      <c r="D22" s="227">
        <v>14.247846259999999</v>
      </c>
      <c r="E22" s="227">
        <v>19.814446650000001</v>
      </c>
      <c r="F22" s="227">
        <v>35.520212059999999</v>
      </c>
      <c r="G22" s="227">
        <v>16.169648769999998</v>
      </c>
      <c r="H22" s="227">
        <v>14.247846259999999</v>
      </c>
      <c r="I22" s="227">
        <v>42.611000660000002</v>
      </c>
      <c r="J22" s="227">
        <v>7.6209410210000001</v>
      </c>
      <c r="K22" s="227">
        <v>8.4824387009999995</v>
      </c>
      <c r="L22" s="227">
        <v>13.78396289</v>
      </c>
      <c r="M22" s="227">
        <v>27.501656730000001</v>
      </c>
    </row>
    <row r="23" spans="2:13" x14ac:dyDescent="0.2">
      <c r="B23" s="226" t="s">
        <v>507</v>
      </c>
      <c r="C23" s="121">
        <v>1590</v>
      </c>
      <c r="D23" s="227">
        <v>14.90566038</v>
      </c>
      <c r="E23" s="227">
        <v>21.383647799999999</v>
      </c>
      <c r="F23" s="227">
        <v>38.867924530000003</v>
      </c>
      <c r="G23" s="227">
        <v>15.91194969</v>
      </c>
      <c r="H23" s="227">
        <v>8.9308176100000001</v>
      </c>
      <c r="I23" s="227">
        <v>50.062893080000002</v>
      </c>
      <c r="J23" s="227">
        <v>9.2452830190000004</v>
      </c>
      <c r="K23" s="227">
        <v>9.3710691819999994</v>
      </c>
      <c r="L23" s="227">
        <v>13.899371070000001</v>
      </c>
      <c r="M23" s="227">
        <v>17.421383649999999</v>
      </c>
    </row>
    <row r="24" spans="2:13" x14ac:dyDescent="0.2">
      <c r="B24" s="226" t="s">
        <v>186</v>
      </c>
      <c r="C24" s="121">
        <v>2582</v>
      </c>
      <c r="D24" s="227">
        <v>17.002323780000001</v>
      </c>
      <c r="E24" s="227">
        <v>23.160340819999998</v>
      </c>
      <c r="F24" s="227">
        <v>38.88458559</v>
      </c>
      <c r="G24" s="227">
        <v>13.632842760000001</v>
      </c>
      <c r="H24" s="227">
        <v>7.3199070490000002</v>
      </c>
      <c r="I24" s="227">
        <v>49.961270329999998</v>
      </c>
      <c r="J24" s="227">
        <v>8.9852827269999995</v>
      </c>
      <c r="K24" s="227">
        <v>9.4500387299999993</v>
      </c>
      <c r="L24" s="227">
        <v>15.02711077</v>
      </c>
      <c r="M24" s="227">
        <v>16.576297440000001</v>
      </c>
    </row>
    <row r="25" spans="2:13" x14ac:dyDescent="0.2">
      <c r="B25" s="226" t="s">
        <v>187</v>
      </c>
      <c r="C25" s="121">
        <v>1883</v>
      </c>
      <c r="D25" s="227">
        <v>16.356877319999999</v>
      </c>
      <c r="E25" s="227">
        <v>17.312798730000001</v>
      </c>
      <c r="F25" s="227">
        <v>34.625597450000001</v>
      </c>
      <c r="G25" s="227">
        <v>16.994158259999999</v>
      </c>
      <c r="H25" s="227">
        <v>14.710568240000001</v>
      </c>
      <c r="I25" s="227">
        <v>43.494423789999999</v>
      </c>
      <c r="J25" s="227">
        <v>8.5501858740000003</v>
      </c>
      <c r="K25" s="227">
        <v>9.6123207649999998</v>
      </c>
      <c r="L25" s="227">
        <v>15.93202337</v>
      </c>
      <c r="M25" s="227">
        <v>22.411046200000001</v>
      </c>
    </row>
    <row r="26" spans="2:13" x14ac:dyDescent="0.2">
      <c r="B26" s="226" t="s">
        <v>188</v>
      </c>
      <c r="C26" s="121">
        <v>3120</v>
      </c>
      <c r="D26" s="227">
        <v>17.660256409999999</v>
      </c>
      <c r="E26" s="227">
        <v>24.967948719999999</v>
      </c>
      <c r="F26" s="227">
        <v>40.57692308</v>
      </c>
      <c r="G26" s="227">
        <v>11.92307692</v>
      </c>
      <c r="H26" s="227">
        <v>4.8717948719999997</v>
      </c>
      <c r="I26" s="227">
        <v>52.371794870000002</v>
      </c>
      <c r="J26" s="227">
        <v>9.615384615</v>
      </c>
      <c r="K26" s="227">
        <v>9.9358974359999994</v>
      </c>
      <c r="L26" s="227">
        <v>14.03846154</v>
      </c>
      <c r="M26" s="227">
        <v>14.03846154</v>
      </c>
    </row>
    <row r="27" spans="2:13" x14ac:dyDescent="0.2">
      <c r="B27" s="226" t="s">
        <v>189</v>
      </c>
      <c r="C27" s="121">
        <v>529</v>
      </c>
      <c r="D27" s="227">
        <v>19.84877127</v>
      </c>
      <c r="E27" s="227">
        <v>15.689981100000001</v>
      </c>
      <c r="F27" s="227">
        <v>39.69754253</v>
      </c>
      <c r="G27" s="227">
        <v>14.933837430000001</v>
      </c>
      <c r="H27" s="227">
        <v>9.8298676749999991</v>
      </c>
      <c r="I27" s="227">
        <v>49.905482040000003</v>
      </c>
      <c r="J27" s="227">
        <v>9.4517958409999991</v>
      </c>
      <c r="K27" s="227">
        <v>10.018903590000001</v>
      </c>
      <c r="L27" s="227">
        <v>15.31190926</v>
      </c>
      <c r="M27" s="227">
        <v>15.31190926</v>
      </c>
    </row>
    <row r="28" spans="2:13" x14ac:dyDescent="0.2">
      <c r="B28" s="226" t="s">
        <v>190</v>
      </c>
      <c r="C28" s="121">
        <v>2783</v>
      </c>
      <c r="D28" s="227">
        <v>17.894358610000001</v>
      </c>
      <c r="E28" s="227">
        <v>26.3025512</v>
      </c>
      <c r="F28" s="227">
        <v>39.417894359999998</v>
      </c>
      <c r="G28" s="227">
        <v>11.570247930000001</v>
      </c>
      <c r="H28" s="227">
        <v>4.8149478979999998</v>
      </c>
      <c r="I28" s="227">
        <v>53.611210919999998</v>
      </c>
      <c r="J28" s="227">
        <v>8.8393819619999991</v>
      </c>
      <c r="K28" s="227">
        <v>9.6298957959999996</v>
      </c>
      <c r="L28" s="227">
        <v>14.01365433</v>
      </c>
      <c r="M28" s="227">
        <v>13.90585699</v>
      </c>
    </row>
    <row r="29" spans="2:13" x14ac:dyDescent="0.2">
      <c r="B29" s="226" t="s">
        <v>191</v>
      </c>
      <c r="C29" s="121">
        <v>1059</v>
      </c>
      <c r="D29" s="227">
        <v>16.902738429999999</v>
      </c>
      <c r="E29" s="227">
        <v>21.43531634</v>
      </c>
      <c r="F29" s="227">
        <v>37.393767709999999</v>
      </c>
      <c r="G29" s="227">
        <v>16.430594899999999</v>
      </c>
      <c r="H29" s="227">
        <v>7.8375826249999996</v>
      </c>
      <c r="I29" s="227">
        <v>51.65250236</v>
      </c>
      <c r="J29" s="227">
        <v>8.5930122759999996</v>
      </c>
      <c r="K29" s="227">
        <v>8.8762983949999992</v>
      </c>
      <c r="L29" s="227">
        <v>14.25873466</v>
      </c>
      <c r="M29" s="227">
        <v>16.61945231</v>
      </c>
    </row>
    <row r="30" spans="2:13" x14ac:dyDescent="0.2">
      <c r="B30" s="226" t="s">
        <v>192</v>
      </c>
      <c r="C30" s="121">
        <v>916</v>
      </c>
      <c r="D30" s="227">
        <v>20.087336239999999</v>
      </c>
      <c r="E30" s="227">
        <v>24.344978170000001</v>
      </c>
      <c r="F30" s="227">
        <v>36.13537118</v>
      </c>
      <c r="G30" s="227">
        <v>14.41048035</v>
      </c>
      <c r="H30" s="227">
        <v>5.0218340609999998</v>
      </c>
      <c r="I30" s="227">
        <v>50.655021830000003</v>
      </c>
      <c r="J30" s="227">
        <v>8.7336244539999992</v>
      </c>
      <c r="K30" s="227">
        <v>10.91703057</v>
      </c>
      <c r="L30" s="227">
        <v>15.720524019999999</v>
      </c>
      <c r="M30" s="227">
        <v>13.97379913</v>
      </c>
    </row>
    <row r="31" spans="2:13" x14ac:dyDescent="0.2">
      <c r="B31" s="226" t="s">
        <v>193</v>
      </c>
      <c r="C31" s="121">
        <v>1084</v>
      </c>
      <c r="D31" s="227">
        <v>18.081180809999999</v>
      </c>
      <c r="E31" s="227">
        <v>22.41697417</v>
      </c>
      <c r="F31" s="227">
        <v>40.129151290000003</v>
      </c>
      <c r="G31" s="227">
        <v>12.546125460000001</v>
      </c>
      <c r="H31" s="227">
        <v>6.8265682659999998</v>
      </c>
      <c r="I31" s="227">
        <v>57.195571960000002</v>
      </c>
      <c r="J31" s="227">
        <v>8.1180811810000009</v>
      </c>
      <c r="K31" s="227">
        <v>8.0258302579999992</v>
      </c>
      <c r="L31" s="227">
        <v>12.453874539999999</v>
      </c>
      <c r="M31" s="227">
        <v>14.206642069999999</v>
      </c>
    </row>
    <row r="32" spans="2:13" x14ac:dyDescent="0.2">
      <c r="B32" s="226" t="s">
        <v>194</v>
      </c>
      <c r="C32" s="121">
        <v>2813</v>
      </c>
      <c r="D32" s="227">
        <v>18.165659439999999</v>
      </c>
      <c r="E32" s="227">
        <v>27.408460720000001</v>
      </c>
      <c r="F32" s="227">
        <v>37.184500530000001</v>
      </c>
      <c r="G32" s="227">
        <v>11.69569854</v>
      </c>
      <c r="H32" s="227">
        <v>5.5456807680000004</v>
      </c>
      <c r="I32" s="227">
        <v>58.869534309999999</v>
      </c>
      <c r="J32" s="227">
        <v>9.3138997509999992</v>
      </c>
      <c r="K32" s="227">
        <v>8.958407394</v>
      </c>
      <c r="L32" s="227">
        <v>11.517952360000001</v>
      </c>
      <c r="M32" s="227">
        <v>11.34020619</v>
      </c>
    </row>
    <row r="33" spans="2:13" x14ac:dyDescent="0.2">
      <c r="B33" s="226" t="s">
        <v>195</v>
      </c>
      <c r="C33" s="121">
        <v>4726</v>
      </c>
      <c r="D33" s="227">
        <v>20.820990269999999</v>
      </c>
      <c r="E33" s="227">
        <v>30.617858649999999</v>
      </c>
      <c r="F33" s="227">
        <v>38.764282690000002</v>
      </c>
      <c r="G33" s="227">
        <v>7.9559881509999997</v>
      </c>
      <c r="H33" s="227">
        <v>1.8408802369999999</v>
      </c>
      <c r="I33" s="227">
        <v>66.335167159999997</v>
      </c>
      <c r="J33" s="227">
        <v>8.3791790099999996</v>
      </c>
      <c r="K33" s="227">
        <v>8.5907744390000005</v>
      </c>
      <c r="L33" s="227">
        <v>9.4583157</v>
      </c>
      <c r="M33" s="227">
        <v>7.2365636899999997</v>
      </c>
    </row>
    <row r="34" spans="2:13" x14ac:dyDescent="0.2">
      <c r="B34" s="226" t="s">
        <v>196</v>
      </c>
      <c r="C34" s="121">
        <v>2033</v>
      </c>
      <c r="D34" s="227">
        <v>16.084604030000001</v>
      </c>
      <c r="E34" s="227">
        <v>22.282341370000001</v>
      </c>
      <c r="F34" s="227">
        <v>38.416133790000004</v>
      </c>
      <c r="G34" s="227">
        <v>15.150024589999999</v>
      </c>
      <c r="H34" s="227">
        <v>8.0668962119999996</v>
      </c>
      <c r="I34" s="227">
        <v>47.811116579999997</v>
      </c>
      <c r="J34" s="227">
        <v>10.477127400000001</v>
      </c>
      <c r="K34" s="227">
        <v>9.7393015250000001</v>
      </c>
      <c r="L34" s="227">
        <v>14.5597639</v>
      </c>
      <c r="M34" s="227">
        <v>17.412690609999999</v>
      </c>
    </row>
    <row r="35" spans="2:13" x14ac:dyDescent="0.2">
      <c r="B35" s="226" t="s">
        <v>197</v>
      </c>
      <c r="C35" s="121">
        <v>2327</v>
      </c>
      <c r="D35" s="227">
        <v>18.908465840000002</v>
      </c>
      <c r="E35" s="227">
        <v>19.939836700000001</v>
      </c>
      <c r="F35" s="227">
        <v>34.85174044</v>
      </c>
      <c r="G35" s="227">
        <v>15.08379888</v>
      </c>
      <c r="H35" s="227">
        <v>11.216158139999999</v>
      </c>
      <c r="I35" s="227">
        <v>47.056295660000004</v>
      </c>
      <c r="J35" s="227">
        <v>7.3055436179999997</v>
      </c>
      <c r="K35" s="227">
        <v>7.692307692</v>
      </c>
      <c r="L35" s="227">
        <v>14.439192090000001</v>
      </c>
      <c r="M35" s="227">
        <v>23.50666094</v>
      </c>
    </row>
    <row r="36" spans="2:13" x14ac:dyDescent="0.2">
      <c r="B36" s="226" t="s">
        <v>198</v>
      </c>
      <c r="C36" s="121">
        <v>4766</v>
      </c>
      <c r="D36" s="227">
        <v>18.170373479999999</v>
      </c>
      <c r="E36" s="227">
        <v>22.807385650000001</v>
      </c>
      <c r="F36" s="227">
        <v>37.6416282</v>
      </c>
      <c r="G36" s="227">
        <v>13.764162819999999</v>
      </c>
      <c r="H36" s="227">
        <v>7.6164498529999998</v>
      </c>
      <c r="I36" s="227">
        <v>49.181703730000002</v>
      </c>
      <c r="J36" s="227">
        <v>9.0012589169999995</v>
      </c>
      <c r="K36" s="227">
        <v>9.6726814940000008</v>
      </c>
      <c r="L36" s="227">
        <v>13.827108689999999</v>
      </c>
      <c r="M36" s="227">
        <v>18.317247170000002</v>
      </c>
    </row>
    <row r="37" spans="2:13" x14ac:dyDescent="0.2">
      <c r="B37" s="226" t="s">
        <v>199</v>
      </c>
      <c r="C37" s="121">
        <v>1088</v>
      </c>
      <c r="D37" s="227">
        <v>20.220588240000001</v>
      </c>
      <c r="E37" s="227">
        <v>18.841911759999999</v>
      </c>
      <c r="F37" s="227">
        <v>33.823529409999999</v>
      </c>
      <c r="G37" s="227">
        <v>14.613970589999999</v>
      </c>
      <c r="H37" s="227">
        <v>12.5</v>
      </c>
      <c r="I37" s="227">
        <v>46.59926471</v>
      </c>
      <c r="J37" s="227">
        <v>7.9963235289999997</v>
      </c>
      <c r="K37" s="227">
        <v>9.2830882349999992</v>
      </c>
      <c r="L37" s="227">
        <v>14.15441176</v>
      </c>
      <c r="M37" s="227">
        <v>21.966911759999999</v>
      </c>
    </row>
    <row r="38" spans="2:13" x14ac:dyDescent="0.2">
      <c r="B38" s="226" t="s">
        <v>200</v>
      </c>
      <c r="C38" s="121">
        <v>5663</v>
      </c>
      <c r="D38" s="227">
        <v>20.660427339999998</v>
      </c>
      <c r="E38" s="227">
        <v>28.235917359999998</v>
      </c>
      <c r="F38" s="227">
        <v>39.890517389999999</v>
      </c>
      <c r="G38" s="227">
        <v>8.8822179059999993</v>
      </c>
      <c r="H38" s="227">
        <v>2.330920007</v>
      </c>
      <c r="I38" s="227">
        <v>68.762140209999998</v>
      </c>
      <c r="J38" s="227">
        <v>7.8227088120000001</v>
      </c>
      <c r="K38" s="227">
        <v>7.9639766910000001</v>
      </c>
      <c r="L38" s="227">
        <v>8.3701218439999998</v>
      </c>
      <c r="M38" s="227">
        <v>7.0810524460000002</v>
      </c>
    </row>
    <row r="39" spans="2:13" x14ac:dyDescent="0.2">
      <c r="B39" s="226" t="s">
        <v>508</v>
      </c>
      <c r="C39" s="121">
        <v>1085</v>
      </c>
      <c r="D39" s="227">
        <v>19.17050691</v>
      </c>
      <c r="E39" s="227">
        <v>24.05529954</v>
      </c>
      <c r="F39" s="227">
        <v>37.050691239999999</v>
      </c>
      <c r="G39" s="227">
        <v>12.99539171</v>
      </c>
      <c r="H39" s="227">
        <v>6.7281105989999999</v>
      </c>
      <c r="I39" s="227">
        <v>55.94470046</v>
      </c>
      <c r="J39" s="227">
        <v>9.8617511520000001</v>
      </c>
      <c r="K39" s="227">
        <v>8.3870967739999998</v>
      </c>
      <c r="L39" s="227">
        <v>12.16589862</v>
      </c>
      <c r="M39" s="227">
        <v>13.640553000000001</v>
      </c>
    </row>
    <row r="40" spans="2:13" x14ac:dyDescent="0.2">
      <c r="B40" s="226" t="s">
        <v>201</v>
      </c>
      <c r="C40" s="121">
        <v>1675</v>
      </c>
      <c r="D40" s="227">
        <v>23.283582089999999</v>
      </c>
      <c r="E40" s="227">
        <v>27.10447761</v>
      </c>
      <c r="F40" s="227">
        <v>35.223880600000001</v>
      </c>
      <c r="G40" s="227">
        <v>10.44776119</v>
      </c>
      <c r="H40" s="227">
        <v>3.9402985070000001</v>
      </c>
      <c r="I40" s="227">
        <v>61.731343279999997</v>
      </c>
      <c r="J40" s="227">
        <v>9.0149253730000005</v>
      </c>
      <c r="K40" s="227">
        <v>9.0149253730000005</v>
      </c>
      <c r="L40" s="227">
        <v>11.283582089999999</v>
      </c>
      <c r="M40" s="227">
        <v>8.9552238810000002</v>
      </c>
    </row>
    <row r="41" spans="2:13" x14ac:dyDescent="0.2">
      <c r="B41" s="226" t="s">
        <v>202</v>
      </c>
      <c r="C41" s="121">
        <v>3896</v>
      </c>
      <c r="D41" s="227">
        <v>19.353182749999998</v>
      </c>
      <c r="E41" s="227">
        <v>23.716632440000001</v>
      </c>
      <c r="F41" s="227">
        <v>38.295687890000004</v>
      </c>
      <c r="G41" s="227">
        <v>13.090349079999999</v>
      </c>
      <c r="H41" s="227">
        <v>5.5441478440000003</v>
      </c>
      <c r="I41" s="227">
        <v>53.285420940000002</v>
      </c>
      <c r="J41" s="227">
        <v>8.7012320330000001</v>
      </c>
      <c r="K41" s="227">
        <v>9.4455852159999996</v>
      </c>
      <c r="L41" s="227">
        <v>13.475359340000001</v>
      </c>
      <c r="M41" s="227">
        <v>15.092402460000001</v>
      </c>
    </row>
    <row r="42" spans="2:13" x14ac:dyDescent="0.2">
      <c r="B42" s="226" t="s">
        <v>203</v>
      </c>
      <c r="C42" s="121">
        <v>12042</v>
      </c>
      <c r="D42" s="227">
        <v>18.850689249999999</v>
      </c>
      <c r="E42" s="227">
        <v>24.68858994</v>
      </c>
      <c r="F42" s="227">
        <v>38.332502910000002</v>
      </c>
      <c r="G42" s="227">
        <v>11.501411729999999</v>
      </c>
      <c r="H42" s="227">
        <v>6.6268061779999998</v>
      </c>
      <c r="I42" s="227">
        <v>52.798538450000002</v>
      </c>
      <c r="J42" s="227">
        <v>9.8654708519999996</v>
      </c>
      <c r="K42" s="227">
        <v>9.840558047</v>
      </c>
      <c r="L42" s="227">
        <v>12.78026906</v>
      </c>
      <c r="M42" s="227">
        <v>14.71516359</v>
      </c>
    </row>
    <row r="43" spans="2:13" x14ac:dyDescent="0.2">
      <c r="B43" s="226" t="s">
        <v>204</v>
      </c>
      <c r="C43" s="121">
        <v>808</v>
      </c>
      <c r="D43" s="227">
        <v>20.544554460000001</v>
      </c>
      <c r="E43" s="227">
        <v>22.400990100000001</v>
      </c>
      <c r="F43" s="227">
        <v>38.366336629999999</v>
      </c>
      <c r="G43" s="227">
        <v>11.75742574</v>
      </c>
      <c r="H43" s="227">
        <v>6.9306930690000002</v>
      </c>
      <c r="I43" s="227">
        <v>48.514851489999998</v>
      </c>
      <c r="J43" s="227">
        <v>10.27227723</v>
      </c>
      <c r="K43" s="227">
        <v>10.27227723</v>
      </c>
      <c r="L43" s="227">
        <v>14.85148515</v>
      </c>
      <c r="M43" s="227">
        <v>16.08910891</v>
      </c>
    </row>
    <row r="44" spans="2:13" x14ac:dyDescent="0.2">
      <c r="B44" s="226" t="s">
        <v>205</v>
      </c>
      <c r="C44" s="121">
        <v>2405</v>
      </c>
      <c r="D44" s="227">
        <v>17.879417879999998</v>
      </c>
      <c r="E44" s="227">
        <v>22.037422039999999</v>
      </c>
      <c r="F44" s="227">
        <v>41.247401250000003</v>
      </c>
      <c r="G44" s="227">
        <v>13.01455301</v>
      </c>
      <c r="H44" s="227">
        <v>5.8212058210000004</v>
      </c>
      <c r="I44" s="227">
        <v>52.598752599999997</v>
      </c>
      <c r="J44" s="227">
        <v>9.1476091480000008</v>
      </c>
      <c r="K44" s="227">
        <v>10.56133056</v>
      </c>
      <c r="L44" s="227">
        <v>12.88981289</v>
      </c>
      <c r="M44" s="227">
        <v>14.8024948</v>
      </c>
    </row>
    <row r="45" spans="2:13" x14ac:dyDescent="0.2">
      <c r="B45" s="226" t="s">
        <v>206</v>
      </c>
      <c r="C45" s="121">
        <v>3247</v>
      </c>
      <c r="D45" s="227">
        <v>16.846319680000001</v>
      </c>
      <c r="E45" s="227">
        <v>18.386202650000001</v>
      </c>
      <c r="F45" s="227">
        <v>37.942716349999998</v>
      </c>
      <c r="G45" s="227">
        <v>16.50754543</v>
      </c>
      <c r="H45" s="227">
        <v>10.31721589</v>
      </c>
      <c r="I45" s="227">
        <v>46.134893750000003</v>
      </c>
      <c r="J45" s="227">
        <v>8.253772713</v>
      </c>
      <c r="K45" s="227">
        <v>10.53279951</v>
      </c>
      <c r="L45" s="227">
        <v>15.0908531</v>
      </c>
      <c r="M45" s="227">
        <v>19.987680940000001</v>
      </c>
    </row>
    <row r="46" spans="2:13" x14ac:dyDescent="0.2">
      <c r="B46" s="228" t="s">
        <v>207</v>
      </c>
      <c r="C46" s="223">
        <v>41242</v>
      </c>
      <c r="D46" s="224">
        <v>18.43509044</v>
      </c>
      <c r="E46" s="224">
        <v>25.31157558</v>
      </c>
      <c r="F46" s="224">
        <v>37.376945829999997</v>
      </c>
      <c r="G46" s="224">
        <v>12.27632026</v>
      </c>
      <c r="H46" s="224">
        <v>6.6000678920000002</v>
      </c>
      <c r="I46" s="224">
        <v>54.105038550000003</v>
      </c>
      <c r="J46" s="224">
        <v>8.8550506759999994</v>
      </c>
      <c r="K46" s="224">
        <v>9.0199311380000005</v>
      </c>
      <c r="L46" s="224">
        <v>12.853401870000001</v>
      </c>
      <c r="M46" s="224">
        <v>15.166577759999999</v>
      </c>
    </row>
    <row r="47" spans="2:13" x14ac:dyDescent="0.2">
      <c r="B47" s="226" t="s">
        <v>509</v>
      </c>
      <c r="C47" s="121">
        <v>1004</v>
      </c>
      <c r="D47" s="227">
        <v>18.7250996</v>
      </c>
      <c r="E47" s="227">
        <v>17.430278879999999</v>
      </c>
      <c r="F47" s="227">
        <v>31.474103589999999</v>
      </c>
      <c r="G47" s="227">
        <v>18.22709163</v>
      </c>
      <c r="H47" s="227">
        <v>14.143426290000001</v>
      </c>
      <c r="I47" s="227">
        <v>45.916334659999997</v>
      </c>
      <c r="J47" s="227">
        <v>8.3665338649999992</v>
      </c>
      <c r="K47" s="227">
        <v>8.3665338649999992</v>
      </c>
      <c r="L47" s="227">
        <v>14.342629479999999</v>
      </c>
      <c r="M47" s="227">
        <v>23.007968129999998</v>
      </c>
    </row>
    <row r="48" spans="2:13" x14ac:dyDescent="0.2">
      <c r="B48" s="226" t="s">
        <v>208</v>
      </c>
      <c r="C48" s="121">
        <v>2581</v>
      </c>
      <c r="D48" s="227">
        <v>16.815187909999999</v>
      </c>
      <c r="E48" s="227">
        <v>22.43316544</v>
      </c>
      <c r="F48" s="227">
        <v>38.318481210000002</v>
      </c>
      <c r="G48" s="227">
        <v>14.722975590000001</v>
      </c>
      <c r="H48" s="227">
        <v>7.7101898489999998</v>
      </c>
      <c r="I48" s="227">
        <v>53.58388222</v>
      </c>
      <c r="J48" s="227">
        <v>9.2212320810000001</v>
      </c>
      <c r="K48" s="227">
        <v>8.4075939559999995</v>
      </c>
      <c r="L48" s="227">
        <v>11.62340178</v>
      </c>
      <c r="M48" s="227">
        <v>17.16388997</v>
      </c>
    </row>
    <row r="49" spans="2:13" x14ac:dyDescent="0.2">
      <c r="B49" s="226" t="s">
        <v>510</v>
      </c>
      <c r="C49" s="121">
        <v>4523</v>
      </c>
      <c r="D49" s="227">
        <v>19.301348659999999</v>
      </c>
      <c r="E49" s="227">
        <v>26.619500330000001</v>
      </c>
      <c r="F49" s="227">
        <v>38.536369669999999</v>
      </c>
      <c r="G49" s="227">
        <v>10.501879280000001</v>
      </c>
      <c r="H49" s="227">
        <v>5.0409020560000002</v>
      </c>
      <c r="I49" s="227">
        <v>57.594516910000003</v>
      </c>
      <c r="J49" s="227">
        <v>10.457660840000001</v>
      </c>
      <c r="K49" s="227">
        <v>8.3351757679999992</v>
      </c>
      <c r="L49" s="227">
        <v>12.115852309999999</v>
      </c>
      <c r="M49" s="227">
        <v>11.49679416</v>
      </c>
    </row>
    <row r="50" spans="2:13" x14ac:dyDescent="0.2">
      <c r="B50" s="226" t="s">
        <v>209</v>
      </c>
      <c r="C50" s="121">
        <v>544</v>
      </c>
      <c r="D50" s="227">
        <v>15.80882353</v>
      </c>
      <c r="E50" s="227">
        <v>24.448529409999999</v>
      </c>
      <c r="F50" s="227">
        <v>36.948529409999999</v>
      </c>
      <c r="G50" s="227">
        <v>16.176470590000001</v>
      </c>
      <c r="H50" s="227">
        <v>6.6176470590000003</v>
      </c>
      <c r="I50" s="227">
        <v>55.147058819999998</v>
      </c>
      <c r="J50" s="227">
        <v>10.29411765</v>
      </c>
      <c r="K50" s="227">
        <v>9.9264705880000008</v>
      </c>
      <c r="L50" s="227">
        <v>13.051470589999999</v>
      </c>
      <c r="M50" s="227">
        <v>11.58088235</v>
      </c>
    </row>
    <row r="51" spans="2:13" x14ac:dyDescent="0.2">
      <c r="B51" s="226" t="s">
        <v>210</v>
      </c>
      <c r="C51" s="121">
        <v>2134</v>
      </c>
      <c r="D51" s="227">
        <v>18.18181818</v>
      </c>
      <c r="E51" s="227">
        <v>28.444236180000001</v>
      </c>
      <c r="F51" s="227">
        <v>40.253045919999998</v>
      </c>
      <c r="G51" s="227">
        <v>9.4657919400000008</v>
      </c>
      <c r="H51" s="227">
        <v>3.6551077790000002</v>
      </c>
      <c r="I51" s="227">
        <v>60.402999059999999</v>
      </c>
      <c r="J51" s="227">
        <v>9.1377694470000002</v>
      </c>
      <c r="K51" s="227">
        <v>8.5754451730000003</v>
      </c>
      <c r="L51" s="227">
        <v>10.63730084</v>
      </c>
      <c r="M51" s="227">
        <v>11.24648547</v>
      </c>
    </row>
    <row r="52" spans="2:13" x14ac:dyDescent="0.2">
      <c r="B52" s="226" t="s">
        <v>211</v>
      </c>
      <c r="C52" s="121">
        <v>521</v>
      </c>
      <c r="D52" s="227">
        <v>16.12284069</v>
      </c>
      <c r="E52" s="227">
        <v>21.689059499999999</v>
      </c>
      <c r="F52" s="227">
        <v>36.852207290000003</v>
      </c>
      <c r="G52" s="227">
        <v>17.082533590000001</v>
      </c>
      <c r="H52" s="227">
        <v>8.2533589250000006</v>
      </c>
      <c r="I52" s="227">
        <v>51.439539349999997</v>
      </c>
      <c r="J52" s="227">
        <v>6.7178502880000002</v>
      </c>
      <c r="K52" s="227">
        <v>9.5969289829999997</v>
      </c>
      <c r="L52" s="227">
        <v>16.69865643</v>
      </c>
      <c r="M52" s="227">
        <v>15.547024950000001</v>
      </c>
    </row>
    <row r="53" spans="2:13" x14ac:dyDescent="0.2">
      <c r="B53" s="226" t="s">
        <v>483</v>
      </c>
      <c r="C53" s="121">
        <v>888</v>
      </c>
      <c r="D53" s="227">
        <v>20.833333329999999</v>
      </c>
      <c r="E53" s="227">
        <v>24.211711709999999</v>
      </c>
      <c r="F53" s="227">
        <v>38.063063059999998</v>
      </c>
      <c r="G53" s="227">
        <v>11.936936940000001</v>
      </c>
      <c r="H53" s="227">
        <v>4.9549549549999998</v>
      </c>
      <c r="I53" s="227">
        <v>56.081081079999997</v>
      </c>
      <c r="J53" s="227">
        <v>9.0090090089999997</v>
      </c>
      <c r="K53" s="227">
        <v>8.2207207209999993</v>
      </c>
      <c r="L53" s="227">
        <v>12.04954955</v>
      </c>
      <c r="M53" s="227">
        <v>14.63963964</v>
      </c>
    </row>
    <row r="54" spans="2:13" x14ac:dyDescent="0.2">
      <c r="B54" s="226" t="s">
        <v>213</v>
      </c>
      <c r="C54" s="121">
        <v>1320</v>
      </c>
      <c r="D54" s="227">
        <v>18.10606061</v>
      </c>
      <c r="E54" s="227">
        <v>25.90909091</v>
      </c>
      <c r="F54" s="227">
        <v>35.303030300000003</v>
      </c>
      <c r="G54" s="227">
        <v>12.8030303</v>
      </c>
      <c r="H54" s="227">
        <v>7.8787878789999999</v>
      </c>
      <c r="I54" s="227">
        <v>50.151515150000002</v>
      </c>
      <c r="J54" s="227">
        <v>7.575757576</v>
      </c>
      <c r="K54" s="227">
        <v>8.9393939390000003</v>
      </c>
      <c r="L54" s="227">
        <v>15.15151515</v>
      </c>
      <c r="M54" s="227">
        <v>18.18181818</v>
      </c>
    </row>
    <row r="55" spans="2:13" x14ac:dyDescent="0.2">
      <c r="B55" s="226" t="s">
        <v>214</v>
      </c>
      <c r="C55" s="121">
        <v>343</v>
      </c>
      <c r="D55" s="227">
        <v>11.0787172</v>
      </c>
      <c r="E55" s="227">
        <v>21.865889209999999</v>
      </c>
      <c r="F55" s="227">
        <v>39.06705539</v>
      </c>
      <c r="G55" s="227">
        <v>17.492711369999999</v>
      </c>
      <c r="H55" s="227">
        <v>10.49562682</v>
      </c>
      <c r="I55" s="227">
        <v>49.85422741</v>
      </c>
      <c r="J55" s="227">
        <v>11.370262390000001</v>
      </c>
      <c r="K55" s="227">
        <v>9.6209912539999998</v>
      </c>
      <c r="L55" s="227">
        <v>12.53644315</v>
      </c>
      <c r="M55" s="227">
        <v>16.6180758</v>
      </c>
    </row>
    <row r="56" spans="2:13" x14ac:dyDescent="0.2">
      <c r="B56" s="226" t="s">
        <v>215</v>
      </c>
      <c r="C56" s="121">
        <v>1040</v>
      </c>
      <c r="D56" s="227">
        <v>18.36538462</v>
      </c>
      <c r="E56" s="227">
        <v>19.32692308</v>
      </c>
      <c r="F56" s="227">
        <v>32.88461538</v>
      </c>
      <c r="G56" s="227">
        <v>17.5</v>
      </c>
      <c r="H56" s="227">
        <v>11.92307692</v>
      </c>
      <c r="I56" s="227">
        <v>48.26923077</v>
      </c>
      <c r="J56" s="227">
        <v>9.423076923</v>
      </c>
      <c r="K56" s="227">
        <v>8.75</v>
      </c>
      <c r="L56" s="227">
        <v>16.05769231</v>
      </c>
      <c r="M56" s="227">
        <v>17.5</v>
      </c>
    </row>
    <row r="57" spans="2:13" x14ac:dyDescent="0.2">
      <c r="B57" s="226" t="s">
        <v>511</v>
      </c>
      <c r="C57" s="121">
        <v>1483</v>
      </c>
      <c r="D57" s="227">
        <v>19.35266352</v>
      </c>
      <c r="E57" s="227">
        <v>24.275117999999999</v>
      </c>
      <c r="F57" s="227">
        <v>37.626432909999998</v>
      </c>
      <c r="G57" s="227">
        <v>14.497639919999999</v>
      </c>
      <c r="H57" s="227">
        <v>4.2481456509999997</v>
      </c>
      <c r="I57" s="227">
        <v>57.451112610000003</v>
      </c>
      <c r="J57" s="227">
        <v>8.9683074850000004</v>
      </c>
      <c r="K57" s="227">
        <v>8.6985839509999998</v>
      </c>
      <c r="L57" s="227">
        <v>11.935266349999999</v>
      </c>
      <c r="M57" s="227">
        <v>12.946729599999999</v>
      </c>
    </row>
    <row r="58" spans="2:13" x14ac:dyDescent="0.2">
      <c r="B58" s="226" t="s">
        <v>216</v>
      </c>
      <c r="C58" s="121">
        <v>1105</v>
      </c>
      <c r="D58" s="227">
        <v>15.927601810000001</v>
      </c>
      <c r="E58" s="227">
        <v>19.90950226</v>
      </c>
      <c r="F58" s="227">
        <v>32.850678729999998</v>
      </c>
      <c r="G58" s="227">
        <v>16.108597289999999</v>
      </c>
      <c r="H58" s="227">
        <v>15.20361991</v>
      </c>
      <c r="I58" s="227">
        <v>43.800904979999999</v>
      </c>
      <c r="J58" s="227">
        <v>8.5067873299999999</v>
      </c>
      <c r="K58" s="227">
        <v>9.1402714930000002</v>
      </c>
      <c r="L58" s="227">
        <v>16.108597289999999</v>
      </c>
      <c r="M58" s="227">
        <v>22.443438910000001</v>
      </c>
    </row>
    <row r="59" spans="2:13" x14ac:dyDescent="0.2">
      <c r="B59" s="226" t="s">
        <v>217</v>
      </c>
      <c r="C59" s="121">
        <v>1219</v>
      </c>
      <c r="D59" s="227">
        <v>16.078753079999998</v>
      </c>
      <c r="E59" s="227">
        <v>17.55537326</v>
      </c>
      <c r="F59" s="227">
        <v>32.56767842</v>
      </c>
      <c r="G59" s="227">
        <v>16.324856440000001</v>
      </c>
      <c r="H59" s="227">
        <v>17.473338800000001</v>
      </c>
      <c r="I59" s="227">
        <v>37.24364233</v>
      </c>
      <c r="J59" s="227">
        <v>7.6292042660000003</v>
      </c>
      <c r="K59" s="227">
        <v>10.41837572</v>
      </c>
      <c r="L59" s="227">
        <v>13.94585726</v>
      </c>
      <c r="M59" s="227">
        <v>30.762920430000001</v>
      </c>
    </row>
    <row r="60" spans="2:13" x14ac:dyDescent="0.2">
      <c r="B60" s="226" t="s">
        <v>604</v>
      </c>
      <c r="C60" s="121">
        <v>2394</v>
      </c>
      <c r="D60" s="227">
        <v>18.546365909999999</v>
      </c>
      <c r="E60" s="227">
        <v>24.018379280000001</v>
      </c>
      <c r="F60" s="227">
        <v>38.01169591</v>
      </c>
      <c r="G60" s="227">
        <v>12.40601504</v>
      </c>
      <c r="H60" s="227">
        <v>7.01754386</v>
      </c>
      <c r="I60" s="227">
        <v>56.558061819999999</v>
      </c>
      <c r="J60" s="227">
        <v>6.7251461990000001</v>
      </c>
      <c r="K60" s="227">
        <v>9.3149540519999992</v>
      </c>
      <c r="L60" s="227">
        <v>12.6984127</v>
      </c>
      <c r="M60" s="227">
        <v>14.703425230000001</v>
      </c>
    </row>
    <row r="61" spans="2:13" x14ac:dyDescent="0.2">
      <c r="B61" s="226" t="s">
        <v>219</v>
      </c>
      <c r="C61" s="121">
        <v>1541</v>
      </c>
      <c r="D61" s="227">
        <v>17.780661909999999</v>
      </c>
      <c r="E61" s="227">
        <v>28.617780660000001</v>
      </c>
      <c r="F61" s="227">
        <v>36.469824789999997</v>
      </c>
      <c r="G61" s="227">
        <v>11.615833869999999</v>
      </c>
      <c r="H61" s="227">
        <v>5.5158987670000004</v>
      </c>
      <c r="I61" s="227">
        <v>52.173913040000002</v>
      </c>
      <c r="J61" s="227">
        <v>9.3445814410000008</v>
      </c>
      <c r="K61" s="227">
        <v>10.64243997</v>
      </c>
      <c r="L61" s="227">
        <v>12.719013629999999</v>
      </c>
      <c r="M61" s="227">
        <v>15.120051910000001</v>
      </c>
    </row>
    <row r="62" spans="2:13" x14ac:dyDescent="0.2">
      <c r="B62" s="226" t="s">
        <v>220</v>
      </c>
      <c r="C62" s="121">
        <v>743</v>
      </c>
      <c r="D62" s="227">
        <v>17.631224759999998</v>
      </c>
      <c r="E62" s="227">
        <v>23.822341860000002</v>
      </c>
      <c r="F62" s="227">
        <v>40.2422611</v>
      </c>
      <c r="G62" s="227">
        <v>14.401076720000001</v>
      </c>
      <c r="H62" s="227">
        <v>3.903095559</v>
      </c>
      <c r="I62" s="227">
        <v>50.740242260000002</v>
      </c>
      <c r="J62" s="227">
        <v>9.9596231490000005</v>
      </c>
      <c r="K62" s="227">
        <v>10.76716016</v>
      </c>
      <c r="L62" s="227">
        <v>14.804845220000001</v>
      </c>
      <c r="M62" s="227">
        <v>13.728129210000001</v>
      </c>
    </row>
    <row r="63" spans="2:13" x14ac:dyDescent="0.2">
      <c r="B63" s="226" t="s">
        <v>221</v>
      </c>
      <c r="C63" s="121">
        <v>240</v>
      </c>
      <c r="D63" s="227">
        <v>22.083333329999999</v>
      </c>
      <c r="E63" s="227">
        <v>22.5</v>
      </c>
      <c r="F63" s="227">
        <v>37.083333330000002</v>
      </c>
      <c r="G63" s="227">
        <v>12.5</v>
      </c>
      <c r="H63" s="227">
        <v>5.8333333329999997</v>
      </c>
      <c r="I63" s="227">
        <v>52.916666669999998</v>
      </c>
      <c r="J63" s="227">
        <v>6.25</v>
      </c>
      <c r="K63" s="227">
        <v>10.41666667</v>
      </c>
      <c r="L63" s="227">
        <v>17.083333329999999</v>
      </c>
      <c r="M63" s="227">
        <v>13.33333333</v>
      </c>
    </row>
    <row r="64" spans="2:13" x14ac:dyDescent="0.2">
      <c r="B64" s="226" t="s">
        <v>222</v>
      </c>
      <c r="C64" s="121">
        <v>746</v>
      </c>
      <c r="D64" s="227">
        <v>14.879356570000001</v>
      </c>
      <c r="E64" s="227">
        <v>22.788203750000001</v>
      </c>
      <c r="F64" s="227">
        <v>39.544235919999998</v>
      </c>
      <c r="G64" s="227">
        <v>13.672922249999999</v>
      </c>
      <c r="H64" s="227">
        <v>9.1152815010000001</v>
      </c>
      <c r="I64" s="227">
        <v>46.916890080000002</v>
      </c>
      <c r="J64" s="227">
        <v>11.52815013</v>
      </c>
      <c r="K64" s="227">
        <v>9.7855227879999997</v>
      </c>
      <c r="L64" s="227">
        <v>12.46648794</v>
      </c>
      <c r="M64" s="227">
        <v>19.30294906</v>
      </c>
    </row>
    <row r="65" spans="2:13" x14ac:dyDescent="0.2">
      <c r="B65" s="226" t="s">
        <v>223</v>
      </c>
      <c r="C65" s="121">
        <v>3900</v>
      </c>
      <c r="D65" s="227">
        <v>16.205128210000002</v>
      </c>
      <c r="E65" s="227">
        <v>28.974358970000001</v>
      </c>
      <c r="F65" s="227">
        <v>41.53846154</v>
      </c>
      <c r="G65" s="227">
        <v>10.051282049999999</v>
      </c>
      <c r="H65" s="227">
        <v>3.230769231</v>
      </c>
      <c r="I65" s="227">
        <v>58.256410260000003</v>
      </c>
      <c r="J65" s="227">
        <v>9.7435897439999994</v>
      </c>
      <c r="K65" s="227">
        <v>9.461538462</v>
      </c>
      <c r="L65" s="227">
        <v>11.487179490000001</v>
      </c>
      <c r="M65" s="227">
        <v>11.051282049999999</v>
      </c>
    </row>
    <row r="66" spans="2:13" x14ac:dyDescent="0.2">
      <c r="B66" s="226" t="s">
        <v>224</v>
      </c>
      <c r="C66" s="121">
        <v>2049</v>
      </c>
      <c r="D66" s="227">
        <v>15.03172279</v>
      </c>
      <c r="E66" s="227">
        <v>21.961932650000001</v>
      </c>
      <c r="F66" s="227">
        <v>36.896046849999998</v>
      </c>
      <c r="G66" s="227">
        <v>15.275744270000001</v>
      </c>
      <c r="H66" s="227">
        <v>10.834553440000001</v>
      </c>
      <c r="I66" s="227">
        <v>42.898975110000002</v>
      </c>
      <c r="J66" s="227">
        <v>8.5895558810000008</v>
      </c>
      <c r="K66" s="227">
        <v>9.956076135</v>
      </c>
      <c r="L66" s="227">
        <v>15.08052709</v>
      </c>
      <c r="M66" s="227">
        <v>23.474865789999999</v>
      </c>
    </row>
    <row r="67" spans="2:13" x14ac:dyDescent="0.2">
      <c r="B67" s="226" t="s">
        <v>512</v>
      </c>
      <c r="C67" s="121">
        <v>8422</v>
      </c>
      <c r="D67" s="227">
        <v>22.156257419999999</v>
      </c>
      <c r="E67" s="227">
        <v>28.769888389999998</v>
      </c>
      <c r="F67" s="227">
        <v>35.442887679999998</v>
      </c>
      <c r="G67" s="227">
        <v>9.5108050340000005</v>
      </c>
      <c r="H67" s="227">
        <v>4.1201614820000003</v>
      </c>
      <c r="I67" s="227">
        <v>59.130847780000003</v>
      </c>
      <c r="J67" s="227">
        <v>7.6822607459999999</v>
      </c>
      <c r="K67" s="227">
        <v>8.4421752550000004</v>
      </c>
      <c r="L67" s="227">
        <v>12.2773688</v>
      </c>
      <c r="M67" s="227">
        <v>12.467347419999999</v>
      </c>
    </row>
    <row r="68" spans="2:13" x14ac:dyDescent="0.2">
      <c r="B68" s="226" t="s">
        <v>225</v>
      </c>
      <c r="C68" s="121">
        <v>2502</v>
      </c>
      <c r="D68" s="227">
        <v>16.746602719999998</v>
      </c>
      <c r="E68" s="227">
        <v>23.221422860000001</v>
      </c>
      <c r="F68" s="227">
        <v>40.00799361</v>
      </c>
      <c r="G68" s="227">
        <v>12.62989608</v>
      </c>
      <c r="H68" s="227">
        <v>7.3940847319999996</v>
      </c>
      <c r="I68" s="227">
        <v>49.64028777</v>
      </c>
      <c r="J68" s="227">
        <v>10.031974419999999</v>
      </c>
      <c r="K68" s="227">
        <v>9.3525179860000005</v>
      </c>
      <c r="L68" s="227">
        <v>13.868904880000001</v>
      </c>
      <c r="M68" s="227">
        <v>17.106314950000002</v>
      </c>
    </row>
    <row r="69" spans="2:13" x14ac:dyDescent="0.2">
      <c r="B69" s="228" t="s">
        <v>226</v>
      </c>
      <c r="C69" s="223">
        <v>27703</v>
      </c>
      <c r="D69" s="224">
        <v>19.268671260000001</v>
      </c>
      <c r="E69" s="224">
        <v>25.564018340000001</v>
      </c>
      <c r="F69" s="224">
        <v>38.497635639999999</v>
      </c>
      <c r="G69" s="224">
        <v>11.554705269999999</v>
      </c>
      <c r="H69" s="224">
        <v>5.1149694979999998</v>
      </c>
      <c r="I69" s="224">
        <v>52.14236725</v>
      </c>
      <c r="J69" s="224">
        <v>9.3672165469999999</v>
      </c>
      <c r="K69" s="224">
        <v>9.3455582429999993</v>
      </c>
      <c r="L69" s="224">
        <v>13.608634439999999</v>
      </c>
      <c r="M69" s="224">
        <v>15.536223509999999</v>
      </c>
    </row>
    <row r="70" spans="2:13" x14ac:dyDescent="0.2">
      <c r="B70" s="229" t="s">
        <v>227</v>
      </c>
      <c r="C70" s="121">
        <v>917</v>
      </c>
      <c r="D70" s="227">
        <v>16.575790619999999</v>
      </c>
      <c r="E70" s="227">
        <v>23.009814609999999</v>
      </c>
      <c r="F70" s="227">
        <v>41.11232279</v>
      </c>
      <c r="G70" s="227">
        <v>11.995637950000001</v>
      </c>
      <c r="H70" s="227">
        <v>7.3064340239999996</v>
      </c>
      <c r="I70" s="227">
        <v>44.601962919999998</v>
      </c>
      <c r="J70" s="227">
        <v>8.5059978189999992</v>
      </c>
      <c r="K70" s="227">
        <v>9.9236641219999999</v>
      </c>
      <c r="L70" s="227">
        <v>16.139585610000001</v>
      </c>
      <c r="M70" s="227">
        <v>20.828789530000002</v>
      </c>
    </row>
    <row r="71" spans="2:13" x14ac:dyDescent="0.2">
      <c r="B71" s="226" t="s">
        <v>228</v>
      </c>
      <c r="C71" s="121">
        <v>2190</v>
      </c>
      <c r="D71" s="227">
        <v>19.49771689</v>
      </c>
      <c r="E71" s="227">
        <v>26.210045659999999</v>
      </c>
      <c r="F71" s="227">
        <v>41.461187209999999</v>
      </c>
      <c r="G71" s="227">
        <v>10.228310499999999</v>
      </c>
      <c r="H71" s="227">
        <v>2.6027397259999998</v>
      </c>
      <c r="I71" s="227">
        <v>63.150684929999997</v>
      </c>
      <c r="J71" s="227">
        <v>8.1735159819999996</v>
      </c>
      <c r="K71" s="227">
        <v>8.4931506849999998</v>
      </c>
      <c r="L71" s="227">
        <v>11.05022831</v>
      </c>
      <c r="M71" s="227">
        <v>9.1324200910000002</v>
      </c>
    </row>
    <row r="72" spans="2:13" x14ac:dyDescent="0.2">
      <c r="B72" s="226" t="s">
        <v>229</v>
      </c>
      <c r="C72" s="121">
        <v>399</v>
      </c>
      <c r="D72" s="227">
        <v>17.79448622</v>
      </c>
      <c r="E72" s="227">
        <v>26.817042610000001</v>
      </c>
      <c r="F72" s="227">
        <v>36.340852130000002</v>
      </c>
      <c r="G72" s="227">
        <v>13.78446115</v>
      </c>
      <c r="H72" s="227">
        <v>5.263157895</v>
      </c>
      <c r="I72" s="227">
        <v>52.631578949999998</v>
      </c>
      <c r="J72" s="227">
        <v>9.5238095240000007</v>
      </c>
      <c r="K72" s="227">
        <v>9.2731829569999995</v>
      </c>
      <c r="L72" s="227">
        <v>14.28571429</v>
      </c>
      <c r="M72" s="227">
        <v>14.28571429</v>
      </c>
    </row>
    <row r="73" spans="2:13" x14ac:dyDescent="0.2">
      <c r="B73" s="226" t="s">
        <v>577</v>
      </c>
      <c r="C73" s="121">
        <v>902</v>
      </c>
      <c r="D73" s="227">
        <v>19.84478936</v>
      </c>
      <c r="E73" s="227">
        <v>23.835920179999999</v>
      </c>
      <c r="F73" s="227">
        <v>38.026607540000001</v>
      </c>
      <c r="G73" s="227">
        <v>12.63858093</v>
      </c>
      <c r="H73" s="227">
        <v>5.6541019959999996</v>
      </c>
      <c r="I73" s="227">
        <v>43.791574279999999</v>
      </c>
      <c r="J73" s="227">
        <v>9.4235033260000005</v>
      </c>
      <c r="K73" s="227">
        <v>8.9800443459999997</v>
      </c>
      <c r="L73" s="227">
        <v>15.410199560000001</v>
      </c>
      <c r="M73" s="227">
        <v>22.39467849</v>
      </c>
    </row>
    <row r="74" spans="2:13" x14ac:dyDescent="0.2">
      <c r="B74" s="226" t="s">
        <v>230</v>
      </c>
      <c r="C74" s="121">
        <v>431</v>
      </c>
      <c r="D74" s="227">
        <v>19.489559159999999</v>
      </c>
      <c r="E74" s="227">
        <v>29.234338749999999</v>
      </c>
      <c r="F74" s="227">
        <v>38.515081209999998</v>
      </c>
      <c r="G74" s="227">
        <v>10.440835269999999</v>
      </c>
      <c r="H74" s="227">
        <v>2.3201856150000002</v>
      </c>
      <c r="I74" s="227">
        <v>49.419953599999999</v>
      </c>
      <c r="J74" s="227">
        <v>12.0649652</v>
      </c>
      <c r="K74" s="227">
        <v>9.7447795819999996</v>
      </c>
      <c r="L74" s="227">
        <v>15.777262179999999</v>
      </c>
      <c r="M74" s="227">
        <v>12.99303944</v>
      </c>
    </row>
    <row r="75" spans="2:13" x14ac:dyDescent="0.2">
      <c r="B75" s="226" t="s">
        <v>231</v>
      </c>
      <c r="C75" s="121">
        <v>6525</v>
      </c>
      <c r="D75" s="227">
        <v>20.49042146</v>
      </c>
      <c r="E75" s="227">
        <v>26.544061299999999</v>
      </c>
      <c r="F75" s="227">
        <v>36.812260539999997</v>
      </c>
      <c r="G75" s="227">
        <v>10.60536398</v>
      </c>
      <c r="H75" s="227">
        <v>5.5478927200000001</v>
      </c>
      <c r="I75" s="227">
        <v>53.272030649999998</v>
      </c>
      <c r="J75" s="227">
        <v>10.00766284</v>
      </c>
      <c r="K75" s="227">
        <v>9.2107279690000006</v>
      </c>
      <c r="L75" s="227">
        <v>12.65900383</v>
      </c>
      <c r="M75" s="227">
        <v>14.85057471</v>
      </c>
    </row>
    <row r="76" spans="2:13" x14ac:dyDescent="0.2">
      <c r="B76" s="226" t="s">
        <v>232</v>
      </c>
      <c r="C76" s="121">
        <v>338</v>
      </c>
      <c r="D76" s="227">
        <v>22.189349109999998</v>
      </c>
      <c r="E76" s="227">
        <v>23.964497040000001</v>
      </c>
      <c r="F76" s="227">
        <v>36.982248519999999</v>
      </c>
      <c r="G76" s="227">
        <v>11.83431953</v>
      </c>
      <c r="H76" s="227">
        <v>5.0295857990000004</v>
      </c>
      <c r="I76" s="227">
        <v>47.041420119999998</v>
      </c>
      <c r="J76" s="227">
        <v>9.1715976329999993</v>
      </c>
      <c r="K76" s="227">
        <v>10.65088757</v>
      </c>
      <c r="L76" s="227">
        <v>16.272189350000001</v>
      </c>
      <c r="M76" s="227">
        <v>16.863905330000001</v>
      </c>
    </row>
    <row r="77" spans="2:13" x14ac:dyDescent="0.2">
      <c r="B77" s="226" t="s">
        <v>233</v>
      </c>
      <c r="C77" s="121">
        <v>154</v>
      </c>
      <c r="D77" s="227">
        <v>23.376623380000002</v>
      </c>
      <c r="E77" s="227">
        <v>18.18181818</v>
      </c>
      <c r="F77" s="227">
        <v>35.714285709999999</v>
      </c>
      <c r="G77" s="227">
        <v>16.233766230000001</v>
      </c>
      <c r="H77" s="227">
        <v>6.493506494</v>
      </c>
      <c r="I77" s="227">
        <v>51.298701299999998</v>
      </c>
      <c r="J77" s="227">
        <v>11.03896104</v>
      </c>
      <c r="K77" s="227">
        <v>6.493506494</v>
      </c>
      <c r="L77" s="227">
        <v>12.33766234</v>
      </c>
      <c r="M77" s="227">
        <v>18.831168829999999</v>
      </c>
    </row>
    <row r="78" spans="2:13" x14ac:dyDescent="0.2">
      <c r="B78" s="226" t="s">
        <v>234</v>
      </c>
      <c r="C78" s="121">
        <v>237</v>
      </c>
      <c r="D78" s="227">
        <v>18.98734177</v>
      </c>
      <c r="E78" s="227">
        <v>16.03375527</v>
      </c>
      <c r="F78" s="227">
        <v>32.911392409999998</v>
      </c>
      <c r="G78" s="227">
        <v>17.72151899</v>
      </c>
      <c r="H78" s="227">
        <v>14.34599156</v>
      </c>
      <c r="I78" s="227">
        <v>46.413502110000003</v>
      </c>
      <c r="J78" s="227">
        <v>8.438818565</v>
      </c>
      <c r="K78" s="227">
        <v>8.8607594939999998</v>
      </c>
      <c r="L78" s="227">
        <v>11.39240506</v>
      </c>
      <c r="M78" s="227">
        <v>24.894514770000001</v>
      </c>
    </row>
    <row r="79" spans="2:13" x14ac:dyDescent="0.2">
      <c r="B79" s="226" t="s">
        <v>513</v>
      </c>
      <c r="C79" s="121">
        <v>1935</v>
      </c>
      <c r="D79" s="227">
        <v>16.847545220000001</v>
      </c>
      <c r="E79" s="227">
        <v>23.462532299999999</v>
      </c>
      <c r="F79" s="227">
        <v>41.447028420000002</v>
      </c>
      <c r="G79" s="227">
        <v>12.454780360000001</v>
      </c>
      <c r="H79" s="227">
        <v>5.7881136949999998</v>
      </c>
      <c r="I79" s="227">
        <v>53.643410850000002</v>
      </c>
      <c r="J79" s="227">
        <v>8.9922480619999998</v>
      </c>
      <c r="K79" s="227">
        <v>9.8191214470000006</v>
      </c>
      <c r="L79" s="227">
        <v>12.403100780000001</v>
      </c>
      <c r="M79" s="227">
        <v>15.14211886</v>
      </c>
    </row>
    <row r="80" spans="2:13" x14ac:dyDescent="0.2">
      <c r="B80" s="226" t="s">
        <v>235</v>
      </c>
      <c r="C80" s="121">
        <v>1309</v>
      </c>
      <c r="D80" s="227">
        <v>14.36210848</v>
      </c>
      <c r="E80" s="227">
        <v>24.293353710000002</v>
      </c>
      <c r="F80" s="227">
        <v>41.86401833</v>
      </c>
      <c r="G80" s="227">
        <v>14.59129106</v>
      </c>
      <c r="H80" s="227">
        <v>4.8892284190000002</v>
      </c>
      <c r="I80" s="227">
        <v>49.19786096</v>
      </c>
      <c r="J80" s="227">
        <v>9.6256684490000008</v>
      </c>
      <c r="K80" s="227">
        <v>10.542398779999999</v>
      </c>
      <c r="L80" s="227">
        <v>16.119174940000001</v>
      </c>
      <c r="M80" s="227">
        <v>14.514896869999999</v>
      </c>
    </row>
    <row r="81" spans="2:13" x14ac:dyDescent="0.2">
      <c r="B81" s="226" t="s">
        <v>236</v>
      </c>
      <c r="C81" s="121">
        <v>166</v>
      </c>
      <c r="D81" s="227">
        <v>16.867469880000002</v>
      </c>
      <c r="E81" s="227">
        <v>28.31325301</v>
      </c>
      <c r="F81" s="227">
        <v>42.771084340000002</v>
      </c>
      <c r="G81" s="227">
        <v>12.048192800000001</v>
      </c>
      <c r="H81" s="262" t="s">
        <v>663</v>
      </c>
      <c r="I81" s="227">
        <v>41.566265059999999</v>
      </c>
      <c r="J81" s="227">
        <v>12.650602409999999</v>
      </c>
      <c r="K81" s="227">
        <v>14.457831329999999</v>
      </c>
      <c r="L81" s="227">
        <v>13.85542169</v>
      </c>
      <c r="M81" s="227">
        <v>17.469879519999999</v>
      </c>
    </row>
    <row r="82" spans="2:13" x14ac:dyDescent="0.2">
      <c r="B82" s="226" t="s">
        <v>237</v>
      </c>
      <c r="C82" s="121">
        <v>228</v>
      </c>
      <c r="D82" s="227">
        <v>20.614035090000002</v>
      </c>
      <c r="E82" s="227">
        <v>21.92982456</v>
      </c>
      <c r="F82" s="227">
        <v>35.526315789999998</v>
      </c>
      <c r="G82" s="227">
        <v>15.35087719</v>
      </c>
      <c r="H82" s="227">
        <v>6.5789473679999997</v>
      </c>
      <c r="I82" s="227">
        <v>42.982456139999996</v>
      </c>
      <c r="J82" s="227">
        <v>10.0877193</v>
      </c>
      <c r="K82" s="227">
        <v>8.7719298250000008</v>
      </c>
      <c r="L82" s="227">
        <v>20.1754386</v>
      </c>
      <c r="M82" s="227">
        <v>17.98245614</v>
      </c>
    </row>
    <row r="83" spans="2:13" x14ac:dyDescent="0.2">
      <c r="B83" s="226" t="s">
        <v>238</v>
      </c>
      <c r="C83" s="121">
        <v>597</v>
      </c>
      <c r="D83" s="227">
        <v>16.750418759999999</v>
      </c>
      <c r="E83" s="227">
        <v>26.633165829999999</v>
      </c>
      <c r="F83" s="227">
        <v>40.368509209999999</v>
      </c>
      <c r="G83" s="227">
        <v>11.89279732</v>
      </c>
      <c r="H83" s="227">
        <v>4.3551088780000002</v>
      </c>
      <c r="I83" s="227">
        <v>56.113902850000002</v>
      </c>
      <c r="J83" s="227">
        <v>8.3752093799999994</v>
      </c>
      <c r="K83" s="227">
        <v>9.8827470690000006</v>
      </c>
      <c r="L83" s="227">
        <v>14.070351759999999</v>
      </c>
      <c r="M83" s="227">
        <v>11.55778894</v>
      </c>
    </row>
    <row r="84" spans="2:13" x14ac:dyDescent="0.2">
      <c r="B84" s="226" t="s">
        <v>239</v>
      </c>
      <c r="C84" s="121">
        <v>564</v>
      </c>
      <c r="D84" s="227">
        <v>17.375886520000002</v>
      </c>
      <c r="E84" s="227">
        <v>21.09929078</v>
      </c>
      <c r="F84" s="227">
        <v>39.893617020000001</v>
      </c>
      <c r="G84" s="227">
        <v>14.71631206</v>
      </c>
      <c r="H84" s="227">
        <v>6.9148936169999997</v>
      </c>
      <c r="I84" s="227">
        <v>43.085106379999999</v>
      </c>
      <c r="J84" s="227">
        <v>8.6879432619999992</v>
      </c>
      <c r="K84" s="227">
        <v>7.4468085110000004</v>
      </c>
      <c r="L84" s="227">
        <v>21.09929078</v>
      </c>
      <c r="M84" s="227">
        <v>19.680851059999998</v>
      </c>
    </row>
    <row r="85" spans="2:13" x14ac:dyDescent="0.2">
      <c r="B85" s="226" t="s">
        <v>240</v>
      </c>
      <c r="C85" s="121">
        <v>804</v>
      </c>
      <c r="D85" s="227">
        <v>16.79104478</v>
      </c>
      <c r="E85" s="227">
        <v>24.875621890000001</v>
      </c>
      <c r="F85" s="227">
        <v>41.169154229999997</v>
      </c>
      <c r="G85" s="227">
        <v>11.94029851</v>
      </c>
      <c r="H85" s="227">
        <v>5.223880597</v>
      </c>
      <c r="I85" s="227">
        <v>48.134328359999998</v>
      </c>
      <c r="J85" s="227">
        <v>7.4626865670000004</v>
      </c>
      <c r="K85" s="227">
        <v>8.4577114430000009</v>
      </c>
      <c r="L85" s="227">
        <v>14.179104479999999</v>
      </c>
      <c r="M85" s="227">
        <v>21.76616915</v>
      </c>
    </row>
    <row r="86" spans="2:13" x14ac:dyDescent="0.2">
      <c r="B86" s="226" t="s">
        <v>241</v>
      </c>
      <c r="C86" s="121">
        <v>472</v>
      </c>
      <c r="D86" s="227">
        <v>18.008474580000001</v>
      </c>
      <c r="E86" s="227">
        <v>23.516949149999999</v>
      </c>
      <c r="F86" s="227">
        <v>37.07627119</v>
      </c>
      <c r="G86" s="227">
        <v>14.61864407</v>
      </c>
      <c r="H86" s="227">
        <v>6.7796610169999996</v>
      </c>
      <c r="I86" s="227">
        <v>41.94915254</v>
      </c>
      <c r="J86" s="227">
        <v>12.07627119</v>
      </c>
      <c r="K86" s="227">
        <v>9.7457627119999994</v>
      </c>
      <c r="L86" s="227">
        <v>16.10169492</v>
      </c>
      <c r="M86" s="227">
        <v>20.127118639999999</v>
      </c>
    </row>
    <row r="87" spans="2:13" x14ac:dyDescent="0.2">
      <c r="B87" s="226" t="s">
        <v>242</v>
      </c>
      <c r="C87" s="121">
        <v>365</v>
      </c>
      <c r="D87" s="227">
        <v>21.643835620000001</v>
      </c>
      <c r="E87" s="227">
        <v>20.821917809999999</v>
      </c>
      <c r="F87" s="227">
        <v>39.7260274</v>
      </c>
      <c r="G87" s="227">
        <v>13.972602739999999</v>
      </c>
      <c r="H87" s="227">
        <v>3.8356164380000002</v>
      </c>
      <c r="I87" s="227">
        <v>47.123287670000003</v>
      </c>
      <c r="J87" s="227">
        <v>8.7671232880000005</v>
      </c>
      <c r="K87" s="227">
        <v>9.8630136989999997</v>
      </c>
      <c r="L87" s="227">
        <v>15.342465750000001</v>
      </c>
      <c r="M87" s="227">
        <v>18.904109590000001</v>
      </c>
    </row>
    <row r="88" spans="2:13" x14ac:dyDescent="0.2">
      <c r="B88" s="226" t="s">
        <v>605</v>
      </c>
      <c r="C88" s="121">
        <v>1281</v>
      </c>
      <c r="D88" s="227">
        <v>20.686963309999999</v>
      </c>
      <c r="E88" s="227">
        <v>26.54176425</v>
      </c>
      <c r="F88" s="227">
        <v>35.050741610000003</v>
      </c>
      <c r="G88" s="227">
        <v>11.8657299</v>
      </c>
      <c r="H88" s="227">
        <v>5.8548009370000003</v>
      </c>
      <c r="I88" s="227">
        <v>50.03903201</v>
      </c>
      <c r="J88" s="227">
        <v>8.040593286</v>
      </c>
      <c r="K88" s="227">
        <v>7.884465262</v>
      </c>
      <c r="L88" s="227">
        <v>13.58313817</v>
      </c>
      <c r="M88" s="227">
        <v>20.45277127</v>
      </c>
    </row>
    <row r="89" spans="2:13" x14ac:dyDescent="0.2">
      <c r="B89" s="226" t="s">
        <v>243</v>
      </c>
      <c r="C89" s="121">
        <v>702</v>
      </c>
      <c r="D89" s="227">
        <v>21.652421650000001</v>
      </c>
      <c r="E89" s="227">
        <v>27.920227919999999</v>
      </c>
      <c r="F89" s="227">
        <v>36.324786320000001</v>
      </c>
      <c r="G89" s="227">
        <v>9.8290598290000002</v>
      </c>
      <c r="H89" s="227">
        <v>4.2735042740000004</v>
      </c>
      <c r="I89" s="227">
        <v>56.410256410000002</v>
      </c>
      <c r="J89" s="227">
        <v>7.9772079769999999</v>
      </c>
      <c r="K89" s="227">
        <v>8.9743589739999994</v>
      </c>
      <c r="L89" s="227">
        <v>11.53846154</v>
      </c>
      <c r="M89" s="227">
        <v>15.099715099999999</v>
      </c>
    </row>
    <row r="90" spans="2:13" x14ac:dyDescent="0.2">
      <c r="B90" s="226" t="s">
        <v>514</v>
      </c>
      <c r="C90" s="121">
        <v>455</v>
      </c>
      <c r="D90" s="227">
        <v>15.38461538</v>
      </c>
      <c r="E90" s="227">
        <v>26.15384615</v>
      </c>
      <c r="F90" s="227">
        <v>42.417582420000002</v>
      </c>
      <c r="G90" s="227">
        <v>12.747252749999999</v>
      </c>
      <c r="H90" s="227">
        <v>3.2967032970000001</v>
      </c>
      <c r="I90" s="227">
        <v>40</v>
      </c>
      <c r="J90" s="227">
        <v>10.329670330000001</v>
      </c>
      <c r="K90" s="227">
        <v>10.76923077</v>
      </c>
      <c r="L90" s="227">
        <v>19.780219779999999</v>
      </c>
      <c r="M90" s="227">
        <v>19.120879120000001</v>
      </c>
    </row>
    <row r="91" spans="2:13" x14ac:dyDescent="0.2">
      <c r="B91" s="226" t="s">
        <v>515</v>
      </c>
      <c r="C91" s="121">
        <v>798</v>
      </c>
      <c r="D91" s="227">
        <v>22.932330830000001</v>
      </c>
      <c r="E91" s="227">
        <v>25.81453634</v>
      </c>
      <c r="F91" s="227">
        <v>34.962406020000003</v>
      </c>
      <c r="G91" s="227">
        <v>11.15288221</v>
      </c>
      <c r="H91" s="227">
        <v>5.1378446120000003</v>
      </c>
      <c r="I91" s="227">
        <v>55.513784459999997</v>
      </c>
      <c r="J91" s="227">
        <v>11.15288221</v>
      </c>
      <c r="K91" s="227">
        <v>7.7694235589999998</v>
      </c>
      <c r="L91" s="227">
        <v>12.03007519</v>
      </c>
      <c r="M91" s="227">
        <v>13.53383459</v>
      </c>
    </row>
    <row r="92" spans="2:13" x14ac:dyDescent="0.2">
      <c r="B92" s="226" t="s">
        <v>244</v>
      </c>
      <c r="C92" s="121">
        <v>1090</v>
      </c>
      <c r="D92" s="227">
        <v>16.146788990000001</v>
      </c>
      <c r="E92" s="227">
        <v>25.229357799999999</v>
      </c>
      <c r="F92" s="227">
        <v>40.458715599999998</v>
      </c>
      <c r="G92" s="227">
        <v>13.66972477</v>
      </c>
      <c r="H92" s="227">
        <v>4.4954128439999996</v>
      </c>
      <c r="I92" s="227">
        <v>48.899082569999997</v>
      </c>
      <c r="J92" s="227">
        <v>8.4403669719999996</v>
      </c>
      <c r="K92" s="227">
        <v>11.28440367</v>
      </c>
      <c r="L92" s="227">
        <v>15.77981651</v>
      </c>
      <c r="M92" s="227">
        <v>15.59633028</v>
      </c>
    </row>
    <row r="93" spans="2:13" x14ac:dyDescent="0.2">
      <c r="B93" s="226" t="s">
        <v>245</v>
      </c>
      <c r="C93" s="121">
        <v>828</v>
      </c>
      <c r="D93" s="227">
        <v>19.3236715</v>
      </c>
      <c r="E93" s="227">
        <v>25.724637680000001</v>
      </c>
      <c r="F93" s="227">
        <v>36.352657000000001</v>
      </c>
      <c r="G93" s="227">
        <v>12.801932369999999</v>
      </c>
      <c r="H93" s="227">
        <v>5.7971014490000004</v>
      </c>
      <c r="I93" s="227">
        <v>48.188405799999998</v>
      </c>
      <c r="J93" s="227">
        <v>9.2995169079999993</v>
      </c>
      <c r="K93" s="227">
        <v>9.0579710139999996</v>
      </c>
      <c r="L93" s="227">
        <v>15.096618360000001</v>
      </c>
      <c r="M93" s="227">
        <v>18.357487920000001</v>
      </c>
    </row>
    <row r="94" spans="2:13" x14ac:dyDescent="0.2">
      <c r="B94" s="226" t="s">
        <v>246</v>
      </c>
      <c r="C94" s="121">
        <v>4016</v>
      </c>
      <c r="D94" s="227">
        <v>20.91633466</v>
      </c>
      <c r="E94" s="227">
        <v>27.066733070000002</v>
      </c>
      <c r="F94" s="227">
        <v>38.072709160000002</v>
      </c>
      <c r="G94" s="227">
        <v>9.4123505979999997</v>
      </c>
      <c r="H94" s="227">
        <v>4.5318725100000004</v>
      </c>
      <c r="I94" s="227">
        <v>55.602589639999998</v>
      </c>
      <c r="J94" s="227">
        <v>9.6115537849999999</v>
      </c>
      <c r="K94" s="227">
        <v>9.6613545819999995</v>
      </c>
      <c r="L94" s="227">
        <v>12.00199203</v>
      </c>
      <c r="M94" s="227">
        <v>13.12250996</v>
      </c>
    </row>
    <row r="95" spans="2:13" s="7" customFormat="1" x14ac:dyDescent="0.2">
      <c r="B95" s="228" t="s">
        <v>247</v>
      </c>
      <c r="C95" s="223">
        <v>22237</v>
      </c>
      <c r="D95" s="224">
        <v>20.852633000000001</v>
      </c>
      <c r="E95" s="224">
        <v>30.08049647</v>
      </c>
      <c r="F95" s="224">
        <v>37.545532219999998</v>
      </c>
      <c r="G95" s="224">
        <v>8.4408868100000003</v>
      </c>
      <c r="H95" s="224">
        <v>3.0804515000000001</v>
      </c>
      <c r="I95" s="224">
        <v>54.827539690000002</v>
      </c>
      <c r="J95" s="224">
        <v>8.8860907499999993</v>
      </c>
      <c r="K95" s="224">
        <v>9.3447857170000006</v>
      </c>
      <c r="L95" s="224">
        <v>13.410082299999999</v>
      </c>
      <c r="M95" s="224">
        <v>13.53150155</v>
      </c>
    </row>
    <row r="96" spans="2:13" x14ac:dyDescent="0.2">
      <c r="B96" s="226" t="s">
        <v>248</v>
      </c>
      <c r="C96" s="121">
        <v>1795</v>
      </c>
      <c r="D96" s="227">
        <v>21.058495820000001</v>
      </c>
      <c r="E96" s="227">
        <v>26.629526460000001</v>
      </c>
      <c r="F96" s="227">
        <v>36.60167131</v>
      </c>
      <c r="G96" s="227">
        <v>10.417827300000001</v>
      </c>
      <c r="H96" s="227">
        <v>5.2924791090000003</v>
      </c>
      <c r="I96" s="227">
        <v>50.306406690000003</v>
      </c>
      <c r="J96" s="227">
        <v>9.1364902509999997</v>
      </c>
      <c r="K96" s="227">
        <v>8.7465181059999999</v>
      </c>
      <c r="L96" s="227">
        <v>13.537604460000001</v>
      </c>
      <c r="M96" s="227">
        <v>18.272980499999999</v>
      </c>
    </row>
    <row r="97" spans="2:13" s="205" customFormat="1" x14ac:dyDescent="0.2">
      <c r="B97" s="229" t="s">
        <v>249</v>
      </c>
      <c r="C97" s="121">
        <v>661</v>
      </c>
      <c r="D97" s="227">
        <v>17.549167929999999</v>
      </c>
      <c r="E97" s="227">
        <v>24.659606660000001</v>
      </c>
      <c r="F97" s="227">
        <v>41.301059000000002</v>
      </c>
      <c r="G97" s="227">
        <v>9.8335854769999997</v>
      </c>
      <c r="H97" s="227">
        <v>6.6565809380000003</v>
      </c>
      <c r="I97" s="227">
        <v>41.149773070000002</v>
      </c>
      <c r="J97" s="227">
        <v>9.6822995459999994</v>
      </c>
      <c r="K97" s="227">
        <v>12.25416036</v>
      </c>
      <c r="L97" s="227">
        <v>13.9183056</v>
      </c>
      <c r="M97" s="227">
        <v>22.995461420000002</v>
      </c>
    </row>
    <row r="98" spans="2:13" x14ac:dyDescent="0.2">
      <c r="B98" s="226" t="s">
        <v>516</v>
      </c>
      <c r="C98" s="121">
        <v>556</v>
      </c>
      <c r="D98" s="227">
        <v>23.561151079999998</v>
      </c>
      <c r="E98" s="227">
        <v>30.39568345</v>
      </c>
      <c r="F98" s="227">
        <v>38.48920863</v>
      </c>
      <c r="G98" s="227">
        <v>4.856115108</v>
      </c>
      <c r="H98" s="227">
        <v>2.6978417270000001</v>
      </c>
      <c r="I98" s="227">
        <v>61.690647480000003</v>
      </c>
      <c r="J98" s="227">
        <v>10.611510790000001</v>
      </c>
      <c r="K98" s="227">
        <v>8.2733812950000001</v>
      </c>
      <c r="L98" s="227">
        <v>11.33093525</v>
      </c>
      <c r="M98" s="227">
        <v>8.0935251800000003</v>
      </c>
    </row>
    <row r="99" spans="2:13" x14ac:dyDescent="0.2">
      <c r="B99" s="226" t="s">
        <v>250</v>
      </c>
      <c r="C99" s="121">
        <v>663</v>
      </c>
      <c r="D99" s="227">
        <v>19.155354450000001</v>
      </c>
      <c r="E99" s="227">
        <v>26.546003020000001</v>
      </c>
      <c r="F99" s="227">
        <v>38.612368019999998</v>
      </c>
      <c r="G99" s="227">
        <v>12.21719457</v>
      </c>
      <c r="H99" s="227">
        <v>3.4690799399999999</v>
      </c>
      <c r="I99" s="227">
        <v>49.019607839999999</v>
      </c>
      <c r="J99" s="227">
        <v>7.9939668169999996</v>
      </c>
      <c r="K99" s="227">
        <v>9.0497737560000004</v>
      </c>
      <c r="L99" s="227">
        <v>13.42383107</v>
      </c>
      <c r="M99" s="227">
        <v>20.512820510000001</v>
      </c>
    </row>
    <row r="100" spans="2:13" x14ac:dyDescent="0.2">
      <c r="B100" s="229" t="s">
        <v>251</v>
      </c>
      <c r="C100" s="121">
        <v>1148</v>
      </c>
      <c r="D100" s="227">
        <v>18.728223</v>
      </c>
      <c r="E100" s="227">
        <v>31.097560980000001</v>
      </c>
      <c r="F100" s="227">
        <v>39.721254360000003</v>
      </c>
      <c r="G100" s="227">
        <v>7.0557491289999996</v>
      </c>
      <c r="H100" s="227">
        <v>3.3972125439999998</v>
      </c>
      <c r="I100" s="227">
        <v>52.351916379999999</v>
      </c>
      <c r="J100" s="227">
        <v>7.8397212539999996</v>
      </c>
      <c r="K100" s="227">
        <v>9.4947735190000007</v>
      </c>
      <c r="L100" s="227">
        <v>14.634146339999999</v>
      </c>
      <c r="M100" s="227">
        <v>15.679442509999999</v>
      </c>
    </row>
    <row r="101" spans="2:13" x14ac:dyDescent="0.2">
      <c r="B101" s="226" t="s">
        <v>252</v>
      </c>
      <c r="C101" s="121">
        <v>771</v>
      </c>
      <c r="D101" s="227">
        <v>14.52658885</v>
      </c>
      <c r="E101" s="227">
        <v>32.81452659</v>
      </c>
      <c r="F101" s="227">
        <v>41.504539559999998</v>
      </c>
      <c r="G101" s="227">
        <v>8.3009079119999996</v>
      </c>
      <c r="H101" s="227">
        <v>2.8534370949999999</v>
      </c>
      <c r="I101" s="227">
        <v>55.252918289999997</v>
      </c>
      <c r="J101" s="227">
        <v>10.50583658</v>
      </c>
      <c r="K101" s="227">
        <v>9.4682230870000001</v>
      </c>
      <c r="L101" s="227">
        <v>11.413748379999999</v>
      </c>
      <c r="M101" s="227">
        <v>13.35927367</v>
      </c>
    </row>
    <row r="102" spans="2:13" x14ac:dyDescent="0.2">
      <c r="B102" s="226" t="s">
        <v>517</v>
      </c>
      <c r="C102" s="121">
        <v>243</v>
      </c>
      <c r="D102" s="227">
        <v>15.226337450000001</v>
      </c>
      <c r="E102" s="227">
        <v>26.337448559999999</v>
      </c>
      <c r="F102" s="227">
        <v>41.15226337</v>
      </c>
      <c r="G102" s="227">
        <v>13.168724279999999</v>
      </c>
      <c r="H102" s="227">
        <v>4.1152263370000002</v>
      </c>
      <c r="I102" s="227">
        <v>40.74074074</v>
      </c>
      <c r="J102" s="227">
        <v>6.9958847740000003</v>
      </c>
      <c r="K102" s="227">
        <v>12.34567901</v>
      </c>
      <c r="L102" s="227">
        <v>18.930041150000001</v>
      </c>
      <c r="M102" s="227">
        <v>20.987654320000001</v>
      </c>
    </row>
    <row r="103" spans="2:13" x14ac:dyDescent="0.2">
      <c r="B103" s="226" t="s">
        <v>253</v>
      </c>
      <c r="C103" s="121">
        <v>432</v>
      </c>
      <c r="D103" s="227">
        <v>19.907407410000001</v>
      </c>
      <c r="E103" s="227">
        <v>25.231481479999999</v>
      </c>
      <c r="F103" s="227">
        <v>38.657407409999998</v>
      </c>
      <c r="G103" s="227">
        <v>12.96296296</v>
      </c>
      <c r="H103" s="227">
        <v>3.2407407410000002</v>
      </c>
      <c r="I103" s="227">
        <v>49.074074070000002</v>
      </c>
      <c r="J103" s="227">
        <v>9.0277777780000008</v>
      </c>
      <c r="K103" s="227">
        <v>10.648148150000001</v>
      </c>
      <c r="L103" s="227">
        <v>16.898148150000001</v>
      </c>
      <c r="M103" s="227">
        <v>14.351851849999999</v>
      </c>
    </row>
    <row r="104" spans="2:13" x14ac:dyDescent="0.2">
      <c r="B104" s="226" t="s">
        <v>254</v>
      </c>
      <c r="C104" s="121">
        <v>3157</v>
      </c>
      <c r="D104" s="227">
        <v>22.616407980000002</v>
      </c>
      <c r="E104" s="227">
        <v>31.548938870000001</v>
      </c>
      <c r="F104" s="227">
        <v>36.49033893</v>
      </c>
      <c r="G104" s="227">
        <v>6.936965474</v>
      </c>
      <c r="H104" s="227">
        <v>2.4073487490000001</v>
      </c>
      <c r="I104" s="227">
        <v>60.563826419999998</v>
      </c>
      <c r="J104" s="227">
        <v>8.1723154890000007</v>
      </c>
      <c r="K104" s="227">
        <v>8.1089642069999996</v>
      </c>
      <c r="L104" s="227">
        <v>12.22679759</v>
      </c>
      <c r="M104" s="227">
        <v>10.928096289999999</v>
      </c>
    </row>
    <row r="105" spans="2:13" x14ac:dyDescent="0.2">
      <c r="B105" s="226" t="s">
        <v>255</v>
      </c>
      <c r="C105" s="121">
        <v>1424</v>
      </c>
      <c r="D105" s="227">
        <v>18.96067416</v>
      </c>
      <c r="E105" s="227">
        <v>30.828651690000001</v>
      </c>
      <c r="F105" s="227">
        <v>39.115168539999999</v>
      </c>
      <c r="G105" s="227">
        <v>8.7780898880000002</v>
      </c>
      <c r="H105" s="227">
        <v>2.31741573</v>
      </c>
      <c r="I105" s="227">
        <v>52.668539330000002</v>
      </c>
      <c r="J105" s="227">
        <v>10.112359550000001</v>
      </c>
      <c r="K105" s="227">
        <v>10.533707870000001</v>
      </c>
      <c r="L105" s="227">
        <v>14.325842700000001</v>
      </c>
      <c r="M105" s="227">
        <v>12.359550560000001</v>
      </c>
    </row>
    <row r="106" spans="2:13" x14ac:dyDescent="0.2">
      <c r="B106" s="226" t="s">
        <v>518</v>
      </c>
      <c r="C106" s="121">
        <v>4558</v>
      </c>
      <c r="D106" s="227">
        <v>22.992540590000001</v>
      </c>
      <c r="E106" s="227">
        <v>31.834137779999999</v>
      </c>
      <c r="F106" s="227">
        <v>36.309784989999997</v>
      </c>
      <c r="G106" s="227">
        <v>6.9109258450000004</v>
      </c>
      <c r="H106" s="227">
        <v>1.9526107939999999</v>
      </c>
      <c r="I106" s="227">
        <v>59.697235630000002</v>
      </c>
      <c r="J106" s="227">
        <v>8.4466871430000001</v>
      </c>
      <c r="K106" s="227">
        <v>8.5563843790000007</v>
      </c>
      <c r="L106" s="227">
        <v>11.71566477</v>
      </c>
      <c r="M106" s="227">
        <v>11.58402808</v>
      </c>
    </row>
    <row r="107" spans="2:13" x14ac:dyDescent="0.2">
      <c r="B107" s="226" t="s">
        <v>256</v>
      </c>
      <c r="C107" s="121">
        <v>470</v>
      </c>
      <c r="D107" s="227">
        <v>22.55319149</v>
      </c>
      <c r="E107" s="227">
        <v>32.765957450000002</v>
      </c>
      <c r="F107" s="227">
        <v>34.680851060000002</v>
      </c>
      <c r="G107" s="227">
        <v>7.2340425530000001</v>
      </c>
      <c r="H107" s="227">
        <v>2.7659574469999999</v>
      </c>
      <c r="I107" s="227">
        <v>52.127659569999999</v>
      </c>
      <c r="J107" s="227">
        <v>8.0851063829999994</v>
      </c>
      <c r="K107" s="227">
        <v>10.21276596</v>
      </c>
      <c r="L107" s="227">
        <v>16.595744679999999</v>
      </c>
      <c r="M107" s="227">
        <v>12.9787234</v>
      </c>
    </row>
    <row r="108" spans="2:13" x14ac:dyDescent="0.2">
      <c r="B108" s="226" t="s">
        <v>257</v>
      </c>
      <c r="C108" s="121">
        <v>666</v>
      </c>
      <c r="D108" s="227">
        <v>23.423423419999999</v>
      </c>
      <c r="E108" s="227">
        <v>31.531531529999999</v>
      </c>
      <c r="F108" s="227">
        <v>35.885885889999997</v>
      </c>
      <c r="G108" s="227">
        <v>7.3573573569999997</v>
      </c>
      <c r="H108" s="227">
        <v>1.801801802</v>
      </c>
      <c r="I108" s="227">
        <v>49.849849849999998</v>
      </c>
      <c r="J108" s="227">
        <v>10.51051051</v>
      </c>
      <c r="K108" s="227">
        <v>11.561561559999999</v>
      </c>
      <c r="L108" s="227">
        <v>16.366366370000001</v>
      </c>
      <c r="M108" s="227">
        <v>11.711711709999999</v>
      </c>
    </row>
    <row r="109" spans="2:13" x14ac:dyDescent="0.2">
      <c r="B109" s="226" t="s">
        <v>258</v>
      </c>
      <c r="C109" s="121">
        <v>2460</v>
      </c>
      <c r="D109" s="227">
        <v>18.7804878</v>
      </c>
      <c r="E109" s="227">
        <v>27.398373979999999</v>
      </c>
      <c r="F109" s="227">
        <v>39.756097560000001</v>
      </c>
      <c r="G109" s="227">
        <v>9.4715447150000003</v>
      </c>
      <c r="H109" s="227">
        <v>4.593495935</v>
      </c>
      <c r="I109" s="227">
        <v>52.926829269999999</v>
      </c>
      <c r="J109" s="227">
        <v>9.8373983739999993</v>
      </c>
      <c r="K109" s="227">
        <v>9.7154471539999996</v>
      </c>
      <c r="L109" s="227">
        <v>14.024390240000001</v>
      </c>
      <c r="M109" s="227">
        <v>13.49593496</v>
      </c>
    </row>
    <row r="110" spans="2:13" x14ac:dyDescent="0.2">
      <c r="B110" s="226" t="s">
        <v>519</v>
      </c>
      <c r="C110" s="121">
        <v>873</v>
      </c>
      <c r="D110" s="227">
        <v>20.733104239999999</v>
      </c>
      <c r="E110" s="227">
        <v>30.584192439999999</v>
      </c>
      <c r="F110" s="227">
        <v>36.082474230000003</v>
      </c>
      <c r="G110" s="227">
        <v>11.11111111</v>
      </c>
      <c r="H110" s="227">
        <v>1.489117984</v>
      </c>
      <c r="I110" s="227">
        <v>54.868270330000001</v>
      </c>
      <c r="J110" s="227">
        <v>8.3619702179999997</v>
      </c>
      <c r="K110" s="227">
        <v>11.56930126</v>
      </c>
      <c r="L110" s="227">
        <v>13.172966779999999</v>
      </c>
      <c r="M110" s="227">
        <v>12.02749141</v>
      </c>
    </row>
    <row r="111" spans="2:13" x14ac:dyDescent="0.2">
      <c r="B111" s="226" t="s">
        <v>259</v>
      </c>
      <c r="C111" s="121">
        <v>1616</v>
      </c>
      <c r="D111" s="227">
        <v>23.081683170000002</v>
      </c>
      <c r="E111" s="227">
        <v>31.00247525</v>
      </c>
      <c r="F111" s="227">
        <v>33.972772280000001</v>
      </c>
      <c r="G111" s="227">
        <v>8.6014851490000002</v>
      </c>
      <c r="H111" s="227">
        <v>3.3415841579999999</v>
      </c>
      <c r="I111" s="227">
        <v>55.693069309999998</v>
      </c>
      <c r="J111" s="227">
        <v>8.2301980199999996</v>
      </c>
      <c r="K111" s="227">
        <v>9.2202970299999993</v>
      </c>
      <c r="L111" s="227">
        <v>13.799504949999999</v>
      </c>
      <c r="M111" s="227">
        <v>13.05693069</v>
      </c>
    </row>
    <row r="112" spans="2:13" x14ac:dyDescent="0.2">
      <c r="B112" s="226" t="s">
        <v>260</v>
      </c>
      <c r="C112" s="121">
        <v>744</v>
      </c>
      <c r="D112" s="227">
        <v>16.801075269999998</v>
      </c>
      <c r="E112" s="227">
        <v>30.645161290000001</v>
      </c>
      <c r="F112" s="227">
        <v>40.053763439999997</v>
      </c>
      <c r="G112" s="227">
        <v>9.8118279570000002</v>
      </c>
      <c r="H112" s="227">
        <v>2.6881720429999998</v>
      </c>
      <c r="I112" s="227">
        <v>49.731182799999999</v>
      </c>
      <c r="J112" s="227">
        <v>8.8709677419999995</v>
      </c>
      <c r="K112" s="227">
        <v>8.8709677419999995</v>
      </c>
      <c r="L112" s="227">
        <v>16.935483869999999</v>
      </c>
      <c r="M112" s="227">
        <v>15.59139785</v>
      </c>
    </row>
    <row r="113" spans="2:13" s="7" customFormat="1" x14ac:dyDescent="0.2">
      <c r="B113" s="228" t="s">
        <v>261</v>
      </c>
      <c r="C113" s="223">
        <v>17168</v>
      </c>
      <c r="D113" s="224">
        <v>19.355778189999999</v>
      </c>
      <c r="E113" s="224">
        <v>24.976700839999999</v>
      </c>
      <c r="F113" s="224">
        <v>38.664958059999996</v>
      </c>
      <c r="G113" s="224">
        <v>12.068965520000001</v>
      </c>
      <c r="H113" s="224">
        <v>4.9335973900000001</v>
      </c>
      <c r="I113" s="224">
        <v>50.733923580000003</v>
      </c>
      <c r="J113" s="224">
        <v>9.3953867659999997</v>
      </c>
      <c r="K113" s="224">
        <v>10.018639329999999</v>
      </c>
      <c r="L113" s="224">
        <v>14.73089469</v>
      </c>
      <c r="M113" s="224">
        <v>15.12115564</v>
      </c>
    </row>
    <row r="114" spans="2:13" x14ac:dyDescent="0.2">
      <c r="B114" s="226" t="s">
        <v>262</v>
      </c>
      <c r="C114" s="121">
        <v>1243</v>
      </c>
      <c r="D114" s="227">
        <v>18.584070799999999</v>
      </c>
      <c r="E114" s="227">
        <v>23.974255830000001</v>
      </c>
      <c r="F114" s="227">
        <v>40.144810939999999</v>
      </c>
      <c r="G114" s="227">
        <v>13.193885760000001</v>
      </c>
      <c r="H114" s="227">
        <v>4.1029766690000002</v>
      </c>
      <c r="I114" s="227">
        <v>53.660498789999998</v>
      </c>
      <c r="J114" s="227">
        <v>9.0909090910000003</v>
      </c>
      <c r="K114" s="227">
        <v>9.8954143200000004</v>
      </c>
      <c r="L114" s="227">
        <v>13.032984709999999</v>
      </c>
      <c r="M114" s="227">
        <v>14.320193079999999</v>
      </c>
    </row>
    <row r="115" spans="2:13" s="205" customFormat="1" x14ac:dyDescent="0.2">
      <c r="B115" s="229" t="s">
        <v>263</v>
      </c>
      <c r="C115" s="121">
        <v>2923</v>
      </c>
      <c r="D115" s="227">
        <v>20.697913100000001</v>
      </c>
      <c r="E115" s="227">
        <v>25.69278139</v>
      </c>
      <c r="F115" s="227">
        <v>36.127266509999998</v>
      </c>
      <c r="G115" s="227">
        <v>11.7003079</v>
      </c>
      <c r="H115" s="227">
        <v>5.7817310979999998</v>
      </c>
      <c r="I115" s="227">
        <v>55.08039685</v>
      </c>
      <c r="J115" s="227">
        <v>9.1002394800000008</v>
      </c>
      <c r="K115" s="227">
        <v>8.7581252139999997</v>
      </c>
      <c r="L115" s="227">
        <v>13.137187819999999</v>
      </c>
      <c r="M115" s="227">
        <v>13.92405063</v>
      </c>
    </row>
    <row r="116" spans="2:13" x14ac:dyDescent="0.2">
      <c r="B116" s="226" t="s">
        <v>264</v>
      </c>
      <c r="C116" s="121">
        <v>558</v>
      </c>
      <c r="D116" s="227">
        <v>20.07168459</v>
      </c>
      <c r="E116" s="227">
        <v>24.372759859999999</v>
      </c>
      <c r="F116" s="227">
        <v>41.397849460000003</v>
      </c>
      <c r="G116" s="227">
        <v>10.03584229</v>
      </c>
      <c r="H116" s="227">
        <v>4.1218637989999998</v>
      </c>
      <c r="I116" s="227">
        <v>41.7562724</v>
      </c>
      <c r="J116" s="227">
        <v>10.03584229</v>
      </c>
      <c r="K116" s="227">
        <v>12.007168460000001</v>
      </c>
      <c r="L116" s="227">
        <v>18.637992830000002</v>
      </c>
      <c r="M116" s="227">
        <v>17.56272401</v>
      </c>
    </row>
    <row r="117" spans="2:13" x14ac:dyDescent="0.2">
      <c r="B117" s="226" t="s">
        <v>265</v>
      </c>
      <c r="C117" s="121">
        <v>2007</v>
      </c>
      <c r="D117" s="227">
        <v>19.481813649999999</v>
      </c>
      <c r="E117" s="227">
        <v>22.720478329999999</v>
      </c>
      <c r="F117" s="227">
        <v>35.675137020000001</v>
      </c>
      <c r="G117" s="227">
        <v>13.751868460000001</v>
      </c>
      <c r="H117" s="227">
        <v>8.370702541</v>
      </c>
      <c r="I117" s="227">
        <v>47.932237170000001</v>
      </c>
      <c r="J117" s="227">
        <v>8.5201793719999994</v>
      </c>
      <c r="K117" s="227">
        <v>10.31390135</v>
      </c>
      <c r="L117" s="227">
        <v>14.34977578</v>
      </c>
      <c r="M117" s="227">
        <v>18.883906329999999</v>
      </c>
    </row>
    <row r="118" spans="2:13" x14ac:dyDescent="0.2">
      <c r="B118" s="229" t="s">
        <v>266</v>
      </c>
      <c r="C118" s="121">
        <v>778</v>
      </c>
      <c r="D118" s="227">
        <v>18.89460154</v>
      </c>
      <c r="E118" s="227">
        <v>23.393316200000001</v>
      </c>
      <c r="F118" s="227">
        <v>38.817480719999999</v>
      </c>
      <c r="G118" s="227">
        <v>11.56812339</v>
      </c>
      <c r="H118" s="227">
        <v>7.3264781489999997</v>
      </c>
      <c r="I118" s="227">
        <v>47.300771210000001</v>
      </c>
      <c r="J118" s="227">
        <v>11.56812339</v>
      </c>
      <c r="K118" s="227">
        <v>8.7403598969999994</v>
      </c>
      <c r="L118" s="227">
        <v>15.938303339999999</v>
      </c>
      <c r="M118" s="227">
        <v>16.45244216</v>
      </c>
    </row>
    <row r="119" spans="2:13" x14ac:dyDescent="0.2">
      <c r="B119" s="226" t="s">
        <v>267</v>
      </c>
      <c r="C119" s="121">
        <v>537</v>
      </c>
      <c r="D119" s="227">
        <v>20.484171320000002</v>
      </c>
      <c r="E119" s="227">
        <v>29.981378029999998</v>
      </c>
      <c r="F119" s="227">
        <v>39.478584730000001</v>
      </c>
      <c r="G119" s="227">
        <v>8.0074487899999998</v>
      </c>
      <c r="H119" s="227">
        <v>2.048417132</v>
      </c>
      <c r="I119" s="227">
        <v>56.424581009999997</v>
      </c>
      <c r="J119" s="227">
        <v>8.7523277470000007</v>
      </c>
      <c r="K119" s="227">
        <v>9.8696461820000003</v>
      </c>
      <c r="L119" s="227">
        <v>12.47672253</v>
      </c>
      <c r="M119" s="227">
        <v>12.47672253</v>
      </c>
    </row>
    <row r="120" spans="2:13" x14ac:dyDescent="0.2">
      <c r="B120" s="226" t="s">
        <v>268</v>
      </c>
      <c r="C120" s="121">
        <v>1423</v>
      </c>
      <c r="D120" s="227">
        <v>19.465917080000001</v>
      </c>
      <c r="E120" s="227">
        <v>23.260716800000001</v>
      </c>
      <c r="F120" s="227">
        <v>40.407589600000001</v>
      </c>
      <c r="G120" s="227">
        <v>12.508784260000001</v>
      </c>
      <c r="H120" s="227">
        <v>4.3569922700000001</v>
      </c>
      <c r="I120" s="227">
        <v>45.959241040000002</v>
      </c>
      <c r="J120" s="227">
        <v>9.5572733660000004</v>
      </c>
      <c r="K120" s="227">
        <v>11.66549543</v>
      </c>
      <c r="L120" s="227">
        <v>16.514406180000002</v>
      </c>
      <c r="M120" s="227">
        <v>16.303583979999999</v>
      </c>
    </row>
    <row r="121" spans="2:13" x14ac:dyDescent="0.2">
      <c r="B121" s="226" t="s">
        <v>269</v>
      </c>
      <c r="C121" s="121">
        <v>1771</v>
      </c>
      <c r="D121" s="227">
        <v>20.722755509999999</v>
      </c>
      <c r="E121" s="227">
        <v>24.957651039999998</v>
      </c>
      <c r="F121" s="227">
        <v>39.2998306</v>
      </c>
      <c r="G121" s="227">
        <v>11.18012422</v>
      </c>
      <c r="H121" s="227">
        <v>3.8396386219999998</v>
      </c>
      <c r="I121" s="227">
        <v>51.10107284</v>
      </c>
      <c r="J121" s="227">
        <v>8.9779785430000008</v>
      </c>
      <c r="K121" s="227">
        <v>9.8814229250000007</v>
      </c>
      <c r="L121" s="227">
        <v>14.85036702</v>
      </c>
      <c r="M121" s="227">
        <v>15.189158669999999</v>
      </c>
    </row>
    <row r="122" spans="2:13" x14ac:dyDescent="0.2">
      <c r="B122" s="226" t="s">
        <v>435</v>
      </c>
      <c r="C122" s="121">
        <v>1093</v>
      </c>
      <c r="D122" s="227">
        <v>18.755718210000001</v>
      </c>
      <c r="E122" s="227">
        <v>26.440988109999999</v>
      </c>
      <c r="F122" s="227">
        <v>39.981701739999998</v>
      </c>
      <c r="G122" s="227">
        <v>10.70448307</v>
      </c>
      <c r="H122" s="227">
        <v>4.1171088749999996</v>
      </c>
      <c r="I122" s="227">
        <v>44.556267149999996</v>
      </c>
      <c r="J122" s="227">
        <v>9.7895699910000005</v>
      </c>
      <c r="K122" s="227">
        <v>12.0768527</v>
      </c>
      <c r="L122" s="227">
        <v>16.651418119999999</v>
      </c>
      <c r="M122" s="227">
        <v>16.925892040000001</v>
      </c>
    </row>
    <row r="123" spans="2:13" x14ac:dyDescent="0.2">
      <c r="B123" s="226" t="s">
        <v>520</v>
      </c>
      <c r="C123" s="121">
        <v>514</v>
      </c>
      <c r="D123" s="227">
        <v>17.315175100000001</v>
      </c>
      <c r="E123" s="227">
        <v>25.48638132</v>
      </c>
      <c r="F123" s="227">
        <v>41.050583660000001</v>
      </c>
      <c r="G123" s="227">
        <v>12.25680934</v>
      </c>
      <c r="H123" s="227">
        <v>3.8910505839999998</v>
      </c>
      <c r="I123" s="227">
        <v>53.891050579999998</v>
      </c>
      <c r="J123" s="227">
        <v>8.1712062260000007</v>
      </c>
      <c r="K123" s="227">
        <v>8.9494163419999992</v>
      </c>
      <c r="L123" s="227">
        <v>12.25680934</v>
      </c>
      <c r="M123" s="227">
        <v>16.73151751</v>
      </c>
    </row>
    <row r="124" spans="2:13" x14ac:dyDescent="0.2">
      <c r="B124" s="226" t="s">
        <v>270</v>
      </c>
      <c r="C124" s="121">
        <v>311</v>
      </c>
      <c r="D124" s="227">
        <v>22.186495180000001</v>
      </c>
      <c r="E124" s="227">
        <v>24.437299039999999</v>
      </c>
      <c r="F124" s="227">
        <v>37.299035369999999</v>
      </c>
      <c r="G124" s="227">
        <v>11.25401929</v>
      </c>
      <c r="H124" s="227">
        <v>4.8231511249999999</v>
      </c>
      <c r="I124" s="227">
        <v>47.588424439999997</v>
      </c>
      <c r="J124" s="227">
        <v>10.93247588</v>
      </c>
      <c r="K124" s="227">
        <v>10.610932480000001</v>
      </c>
      <c r="L124" s="227">
        <v>20.578778140000001</v>
      </c>
      <c r="M124" s="227">
        <v>10.28938907</v>
      </c>
    </row>
    <row r="125" spans="2:13" x14ac:dyDescent="0.2">
      <c r="B125" s="226" t="s">
        <v>271</v>
      </c>
      <c r="C125" s="121">
        <v>514</v>
      </c>
      <c r="D125" s="227">
        <v>16.53696498</v>
      </c>
      <c r="E125" s="227">
        <v>24.124513619999998</v>
      </c>
      <c r="F125" s="227">
        <v>40.856031129999998</v>
      </c>
      <c r="G125" s="227">
        <v>14.39688716</v>
      </c>
      <c r="H125" s="227">
        <v>4.0856031130000003</v>
      </c>
      <c r="I125" s="227">
        <v>45.719844360000003</v>
      </c>
      <c r="J125" s="227">
        <v>8.7548638130000001</v>
      </c>
      <c r="K125" s="227">
        <v>11.47859922</v>
      </c>
      <c r="L125" s="227">
        <v>17.50972763</v>
      </c>
      <c r="M125" s="227">
        <v>16.53696498</v>
      </c>
    </row>
    <row r="126" spans="2:13" x14ac:dyDescent="0.2">
      <c r="B126" s="226" t="s">
        <v>272</v>
      </c>
      <c r="C126" s="121">
        <v>379</v>
      </c>
      <c r="D126" s="227">
        <v>20.316622689999999</v>
      </c>
      <c r="E126" s="227">
        <v>28.759894460000002</v>
      </c>
      <c r="F126" s="227">
        <v>38.258575200000003</v>
      </c>
      <c r="G126" s="227">
        <v>10.02638522</v>
      </c>
      <c r="H126" s="227">
        <v>2.6385224269999998</v>
      </c>
      <c r="I126" s="227">
        <v>52.770448549999998</v>
      </c>
      <c r="J126" s="227">
        <v>8.7071240109999994</v>
      </c>
      <c r="K126" s="227">
        <v>8.7071240109999994</v>
      </c>
      <c r="L126" s="227">
        <v>17.94195251</v>
      </c>
      <c r="M126" s="227">
        <v>11.87335092</v>
      </c>
    </row>
    <row r="127" spans="2:13" x14ac:dyDescent="0.2">
      <c r="B127" s="226" t="s">
        <v>273</v>
      </c>
      <c r="C127" s="121">
        <v>800</v>
      </c>
      <c r="D127" s="227">
        <v>14.875</v>
      </c>
      <c r="E127" s="227">
        <v>26.75</v>
      </c>
      <c r="F127" s="227">
        <v>41.125</v>
      </c>
      <c r="G127" s="227">
        <v>13.125</v>
      </c>
      <c r="H127" s="227">
        <v>4.125</v>
      </c>
      <c r="I127" s="227">
        <v>56.625</v>
      </c>
      <c r="J127" s="227">
        <v>8.625</v>
      </c>
      <c r="K127" s="227">
        <v>11.375</v>
      </c>
      <c r="L127" s="227">
        <v>14.125</v>
      </c>
      <c r="M127" s="227">
        <v>9.25</v>
      </c>
    </row>
    <row r="128" spans="2:13" x14ac:dyDescent="0.2">
      <c r="B128" s="226" t="s">
        <v>274</v>
      </c>
      <c r="C128" s="121">
        <v>464</v>
      </c>
      <c r="D128" s="227">
        <v>18.75</v>
      </c>
      <c r="E128" s="227">
        <v>23.060344829999998</v>
      </c>
      <c r="F128" s="227">
        <v>39.439655170000002</v>
      </c>
      <c r="G128" s="227">
        <v>14.008620690000001</v>
      </c>
      <c r="H128" s="227">
        <v>4.7413793100000001</v>
      </c>
      <c r="I128" s="227">
        <v>56.465517239999997</v>
      </c>
      <c r="J128" s="227">
        <v>9.4827586210000003</v>
      </c>
      <c r="K128" s="227">
        <v>8.6206896549999996</v>
      </c>
      <c r="L128" s="227">
        <v>13.57758621</v>
      </c>
      <c r="M128" s="227">
        <v>11.85344828</v>
      </c>
    </row>
    <row r="129" spans="2:13" x14ac:dyDescent="0.2">
      <c r="B129" s="226" t="s">
        <v>275</v>
      </c>
      <c r="C129" s="121">
        <v>687</v>
      </c>
      <c r="D129" s="227">
        <v>19.06841339</v>
      </c>
      <c r="E129" s="227">
        <v>26.637554590000001</v>
      </c>
      <c r="F129" s="227">
        <v>35.807860259999998</v>
      </c>
      <c r="G129" s="227">
        <v>14.847161570000001</v>
      </c>
      <c r="H129" s="227">
        <v>3.639010189</v>
      </c>
      <c r="I129" s="227">
        <v>51.237263460000001</v>
      </c>
      <c r="J129" s="227">
        <v>10.48034934</v>
      </c>
      <c r="K129" s="227">
        <v>10.334788939999999</v>
      </c>
      <c r="L129" s="227">
        <v>14.26491994</v>
      </c>
      <c r="M129" s="227">
        <v>13.68267831</v>
      </c>
    </row>
    <row r="130" spans="2:13" x14ac:dyDescent="0.2">
      <c r="B130" s="226" t="s">
        <v>276</v>
      </c>
      <c r="C130" s="121">
        <v>530</v>
      </c>
      <c r="D130" s="227">
        <v>21.886792450000002</v>
      </c>
      <c r="E130" s="227">
        <v>22.26415094</v>
      </c>
      <c r="F130" s="227">
        <v>40.18867925</v>
      </c>
      <c r="G130" s="227">
        <v>11.509433960000001</v>
      </c>
      <c r="H130" s="227">
        <v>4.1509433959999997</v>
      </c>
      <c r="I130" s="227">
        <v>45.471698109999998</v>
      </c>
      <c r="J130" s="227">
        <v>12.830188679999999</v>
      </c>
      <c r="K130" s="227">
        <v>9.6226415089999993</v>
      </c>
      <c r="L130" s="227">
        <v>13.962264149999999</v>
      </c>
      <c r="M130" s="227">
        <v>18.113207549999998</v>
      </c>
    </row>
    <row r="131" spans="2:13" x14ac:dyDescent="0.2">
      <c r="B131" s="226" t="s">
        <v>277</v>
      </c>
      <c r="C131" s="121">
        <v>636</v>
      </c>
      <c r="D131" s="227">
        <v>16.509433959999999</v>
      </c>
      <c r="E131" s="227">
        <v>28.301886790000001</v>
      </c>
      <c r="F131" s="227">
        <v>41.037735849999997</v>
      </c>
      <c r="G131" s="227">
        <v>10.220125790000001</v>
      </c>
      <c r="H131" s="227">
        <v>3.9308176100000001</v>
      </c>
      <c r="I131" s="227">
        <v>55.503144650000003</v>
      </c>
      <c r="J131" s="227">
        <v>9.591194969</v>
      </c>
      <c r="K131" s="227">
        <v>7.704402516</v>
      </c>
      <c r="L131" s="227">
        <v>13.67924528</v>
      </c>
      <c r="M131" s="227">
        <v>13.52201258</v>
      </c>
    </row>
    <row r="132" spans="2:13" s="7" customFormat="1" x14ac:dyDescent="0.2">
      <c r="B132" s="228" t="s">
        <v>278</v>
      </c>
      <c r="C132" s="223">
        <v>32410</v>
      </c>
      <c r="D132" s="224">
        <v>18.60536871</v>
      </c>
      <c r="E132" s="224">
        <v>25.56001234</v>
      </c>
      <c r="F132" s="224">
        <v>38.330762110000002</v>
      </c>
      <c r="G132" s="224">
        <v>11.848195</v>
      </c>
      <c r="H132" s="224">
        <v>5.6556618329999999</v>
      </c>
      <c r="I132" s="224">
        <v>52.459117560000003</v>
      </c>
      <c r="J132" s="224">
        <v>9.3211971610000006</v>
      </c>
      <c r="K132" s="224">
        <v>9.5464362850000004</v>
      </c>
      <c r="L132" s="224">
        <v>13.440296200000001</v>
      </c>
      <c r="M132" s="224">
        <v>15.232952790000001</v>
      </c>
    </row>
    <row r="133" spans="2:13" x14ac:dyDescent="0.2">
      <c r="B133" s="226" t="s">
        <v>279</v>
      </c>
      <c r="C133" s="121">
        <v>384</v>
      </c>
      <c r="D133" s="227">
        <v>15.625</v>
      </c>
      <c r="E133" s="227">
        <v>23.4375</v>
      </c>
      <c r="F133" s="227">
        <v>39.0625</v>
      </c>
      <c r="G133" s="227">
        <v>15.625</v>
      </c>
      <c r="H133" s="227">
        <v>6.25</v>
      </c>
      <c r="I133" s="227">
        <v>43.489583330000002</v>
      </c>
      <c r="J133" s="227">
        <v>12.23958333</v>
      </c>
      <c r="K133" s="227">
        <v>10.15625</v>
      </c>
      <c r="L133" s="227">
        <v>13.80208333</v>
      </c>
      <c r="M133" s="227">
        <v>20.3125</v>
      </c>
    </row>
    <row r="134" spans="2:13" s="205" customFormat="1" x14ac:dyDescent="0.2">
      <c r="B134" s="229" t="s">
        <v>280</v>
      </c>
      <c r="C134" s="121">
        <v>798</v>
      </c>
      <c r="D134" s="227">
        <v>21.80451128</v>
      </c>
      <c r="E134" s="227">
        <v>23.43358396</v>
      </c>
      <c r="F134" s="227">
        <v>34.21052632</v>
      </c>
      <c r="G134" s="227">
        <v>14.160401</v>
      </c>
      <c r="H134" s="227">
        <v>6.3909774439999998</v>
      </c>
      <c r="I134" s="227">
        <v>47.368421050000002</v>
      </c>
      <c r="J134" s="227">
        <v>9.1478696740000007</v>
      </c>
      <c r="K134" s="227">
        <v>9.6491228069999995</v>
      </c>
      <c r="L134" s="227">
        <v>15.41353383</v>
      </c>
      <c r="M134" s="227">
        <v>18.421052629999998</v>
      </c>
    </row>
    <row r="135" spans="2:13" x14ac:dyDescent="0.2">
      <c r="B135" s="226" t="s">
        <v>281</v>
      </c>
      <c r="C135" s="121">
        <v>392</v>
      </c>
      <c r="D135" s="227">
        <v>15.561224490000001</v>
      </c>
      <c r="E135" s="227">
        <v>25</v>
      </c>
      <c r="F135" s="227">
        <v>43.622448980000001</v>
      </c>
      <c r="G135" s="227">
        <v>11.73469388</v>
      </c>
      <c r="H135" s="227">
        <v>4.0816326529999998</v>
      </c>
      <c r="I135" s="227">
        <v>55.867346939999997</v>
      </c>
      <c r="J135" s="227">
        <v>6.6326530610000001</v>
      </c>
      <c r="K135" s="227">
        <v>13.775510199999999</v>
      </c>
      <c r="L135" s="227">
        <v>13.775510199999999</v>
      </c>
      <c r="M135" s="227">
        <v>9.9489795920000006</v>
      </c>
    </row>
    <row r="136" spans="2:13" x14ac:dyDescent="0.2">
      <c r="B136" s="226" t="s">
        <v>282</v>
      </c>
      <c r="C136" s="121">
        <v>1142</v>
      </c>
      <c r="D136" s="227">
        <v>15.84938704</v>
      </c>
      <c r="E136" s="227">
        <v>26.269702280000001</v>
      </c>
      <c r="F136" s="227">
        <v>40.718038530000001</v>
      </c>
      <c r="G136" s="227">
        <v>12.43432574</v>
      </c>
      <c r="H136" s="227">
        <v>4.7285464099999999</v>
      </c>
      <c r="I136" s="227">
        <v>52.189141859999999</v>
      </c>
      <c r="J136" s="227">
        <v>10.070052540000001</v>
      </c>
      <c r="K136" s="227">
        <v>9.8949211909999999</v>
      </c>
      <c r="L136" s="227">
        <v>14.886164620000001</v>
      </c>
      <c r="M136" s="227">
        <v>12.959719789999999</v>
      </c>
    </row>
    <row r="137" spans="2:13" x14ac:dyDescent="0.2">
      <c r="B137" s="229" t="s">
        <v>283</v>
      </c>
      <c r="C137" s="121">
        <v>751</v>
      </c>
      <c r="D137" s="227">
        <v>18.37549933</v>
      </c>
      <c r="E137" s="227">
        <v>24.633821569999999</v>
      </c>
      <c r="F137" s="227">
        <v>35.818908120000003</v>
      </c>
      <c r="G137" s="227">
        <v>15.4460719</v>
      </c>
      <c r="H137" s="227">
        <v>5.7256990679999999</v>
      </c>
      <c r="I137" s="227">
        <v>47.536617839999998</v>
      </c>
      <c r="J137" s="227">
        <v>8.5219707059999994</v>
      </c>
      <c r="K137" s="227">
        <v>9.4540612520000007</v>
      </c>
      <c r="L137" s="227">
        <v>16.378162450000001</v>
      </c>
      <c r="M137" s="227">
        <v>18.10918775</v>
      </c>
    </row>
    <row r="138" spans="2:13" x14ac:dyDescent="0.2">
      <c r="B138" s="226" t="s">
        <v>284</v>
      </c>
      <c r="C138" s="121">
        <v>1105</v>
      </c>
      <c r="D138" s="227">
        <v>22.262443439999998</v>
      </c>
      <c r="E138" s="227">
        <v>28.144796379999999</v>
      </c>
      <c r="F138" s="227">
        <v>36.742081450000001</v>
      </c>
      <c r="G138" s="227">
        <v>8.6877828049999994</v>
      </c>
      <c r="H138" s="227">
        <v>4.1628959280000002</v>
      </c>
      <c r="I138" s="227">
        <v>55.20361991</v>
      </c>
      <c r="J138" s="227">
        <v>9.7737556560000005</v>
      </c>
      <c r="K138" s="227">
        <v>8.5067873299999999</v>
      </c>
      <c r="L138" s="227">
        <v>13.57466063</v>
      </c>
      <c r="M138" s="227">
        <v>12.94117647</v>
      </c>
    </row>
    <row r="139" spans="2:13" x14ac:dyDescent="0.2">
      <c r="B139" s="226" t="s">
        <v>285</v>
      </c>
      <c r="C139" s="121">
        <v>491</v>
      </c>
      <c r="D139" s="227">
        <v>19.144602849999998</v>
      </c>
      <c r="E139" s="227">
        <v>31.975560080000001</v>
      </c>
      <c r="F139" s="227">
        <v>40.325865579999999</v>
      </c>
      <c r="G139" s="227">
        <v>7.128309572</v>
      </c>
      <c r="H139" s="227">
        <v>1.425661914</v>
      </c>
      <c r="I139" s="227">
        <v>53.156822810000001</v>
      </c>
      <c r="J139" s="227">
        <v>11.81262729</v>
      </c>
      <c r="K139" s="227">
        <v>10.99796334</v>
      </c>
      <c r="L139" s="227">
        <v>13.84928717</v>
      </c>
      <c r="M139" s="227">
        <v>10.18329939</v>
      </c>
    </row>
    <row r="140" spans="2:13" x14ac:dyDescent="0.2">
      <c r="B140" s="226" t="s">
        <v>286</v>
      </c>
      <c r="C140" s="121">
        <v>601</v>
      </c>
      <c r="D140" s="227">
        <v>17.803660570000002</v>
      </c>
      <c r="E140" s="227">
        <v>28.618968389999999</v>
      </c>
      <c r="F140" s="227">
        <v>40.599001659999999</v>
      </c>
      <c r="G140" s="227">
        <v>10.64891847</v>
      </c>
      <c r="H140" s="227">
        <v>2.3294509149999998</v>
      </c>
      <c r="I140" s="227">
        <v>58.56905158</v>
      </c>
      <c r="J140" s="227">
        <v>8.8186356069999992</v>
      </c>
      <c r="K140" s="227">
        <v>9.3178036609999992</v>
      </c>
      <c r="L140" s="227">
        <v>10.64891847</v>
      </c>
      <c r="M140" s="227">
        <v>12.64559068</v>
      </c>
    </row>
    <row r="141" spans="2:13" x14ac:dyDescent="0.2">
      <c r="B141" s="226" t="s">
        <v>521</v>
      </c>
      <c r="C141" s="121">
        <v>626</v>
      </c>
      <c r="D141" s="227">
        <v>16.773162939999999</v>
      </c>
      <c r="E141" s="227">
        <v>27.955271570000001</v>
      </c>
      <c r="F141" s="227">
        <v>43.929712459999998</v>
      </c>
      <c r="G141" s="227">
        <v>8.9456869010000002</v>
      </c>
      <c r="H141" s="227">
        <v>2.396166134</v>
      </c>
      <c r="I141" s="227">
        <v>56.869009579999997</v>
      </c>
      <c r="J141" s="227">
        <v>11.34185304</v>
      </c>
      <c r="K141" s="227">
        <v>8.9456869010000002</v>
      </c>
      <c r="L141" s="227">
        <v>12.4600639</v>
      </c>
      <c r="M141" s="227">
        <v>10.38338658</v>
      </c>
    </row>
    <row r="142" spans="2:13" x14ac:dyDescent="0.2">
      <c r="B142" s="226" t="s">
        <v>287</v>
      </c>
      <c r="C142" s="121">
        <v>2131</v>
      </c>
      <c r="D142" s="227">
        <v>17.691224779999999</v>
      </c>
      <c r="E142" s="227">
        <v>28.718911309999999</v>
      </c>
      <c r="F142" s="227">
        <v>39.652745189999997</v>
      </c>
      <c r="G142" s="227">
        <v>10.13608634</v>
      </c>
      <c r="H142" s="227">
        <v>3.801032379</v>
      </c>
      <c r="I142" s="227">
        <v>59.455654619999997</v>
      </c>
      <c r="J142" s="227">
        <v>9.8545283900000005</v>
      </c>
      <c r="K142" s="227">
        <v>8.3528859690000008</v>
      </c>
      <c r="L142" s="227">
        <v>10.93383388</v>
      </c>
      <c r="M142" s="227">
        <v>11.40309714</v>
      </c>
    </row>
    <row r="143" spans="2:13" x14ac:dyDescent="0.2">
      <c r="B143" s="226" t="s">
        <v>288</v>
      </c>
      <c r="C143" s="121">
        <v>5360</v>
      </c>
      <c r="D143" s="227">
        <v>20.70895522</v>
      </c>
      <c r="E143" s="227">
        <v>25.914179099999998</v>
      </c>
      <c r="F143" s="227">
        <v>36.548507460000003</v>
      </c>
      <c r="G143" s="227">
        <v>10.317164180000001</v>
      </c>
      <c r="H143" s="227">
        <v>6.5111940300000004</v>
      </c>
      <c r="I143" s="227">
        <v>56.026119399999999</v>
      </c>
      <c r="J143" s="227">
        <v>9.1604477610000004</v>
      </c>
      <c r="K143" s="227">
        <v>9.0858208959999995</v>
      </c>
      <c r="L143" s="227">
        <v>11.212686570000001</v>
      </c>
      <c r="M143" s="227">
        <v>14.51492537</v>
      </c>
    </row>
    <row r="144" spans="2:13" x14ac:dyDescent="0.2">
      <c r="B144" s="226" t="s">
        <v>289</v>
      </c>
      <c r="C144" s="121">
        <v>1605</v>
      </c>
      <c r="D144" s="227">
        <v>17.196261679999999</v>
      </c>
      <c r="E144" s="227">
        <v>23.30218069</v>
      </c>
      <c r="F144" s="227">
        <v>36.261682239999999</v>
      </c>
      <c r="G144" s="227">
        <v>12.46105919</v>
      </c>
      <c r="H144" s="227">
        <v>10.7788162</v>
      </c>
      <c r="I144" s="227">
        <v>46.666666669999998</v>
      </c>
      <c r="J144" s="227">
        <v>8.9096573209999992</v>
      </c>
      <c r="K144" s="227">
        <v>10.965732089999999</v>
      </c>
      <c r="L144" s="227">
        <v>13.271028039999999</v>
      </c>
      <c r="M144" s="227">
        <v>20.186915890000002</v>
      </c>
    </row>
    <row r="145" spans="2:13" x14ac:dyDescent="0.2">
      <c r="B145" s="226" t="s">
        <v>290</v>
      </c>
      <c r="C145" s="121">
        <v>2361</v>
      </c>
      <c r="D145" s="227">
        <v>17.91613723</v>
      </c>
      <c r="E145" s="227">
        <v>24.184667510000001</v>
      </c>
      <c r="F145" s="227">
        <v>37.102922489999997</v>
      </c>
      <c r="G145" s="227">
        <v>13.130029650000001</v>
      </c>
      <c r="H145" s="227">
        <v>7.6662431169999996</v>
      </c>
      <c r="I145" s="227">
        <v>48.284625159999997</v>
      </c>
      <c r="J145" s="227">
        <v>8.8098263449999994</v>
      </c>
      <c r="K145" s="227">
        <v>9.487505294</v>
      </c>
      <c r="L145" s="227">
        <v>13.6806438</v>
      </c>
      <c r="M145" s="227">
        <v>19.737399409999998</v>
      </c>
    </row>
    <row r="146" spans="2:13" x14ac:dyDescent="0.2">
      <c r="B146" s="226" t="s">
        <v>291</v>
      </c>
      <c r="C146" s="121">
        <v>2365</v>
      </c>
      <c r="D146" s="227">
        <v>20.042283300000001</v>
      </c>
      <c r="E146" s="227">
        <v>25.53911205</v>
      </c>
      <c r="F146" s="227">
        <v>38.47780127</v>
      </c>
      <c r="G146" s="227">
        <v>12.05073996</v>
      </c>
      <c r="H146" s="227">
        <v>3.8900634250000001</v>
      </c>
      <c r="I146" s="227">
        <v>56.61733615</v>
      </c>
      <c r="J146" s="227">
        <v>9.8097251589999992</v>
      </c>
      <c r="K146" s="227">
        <v>9.2177589849999997</v>
      </c>
      <c r="L146" s="227">
        <v>11.585623679999999</v>
      </c>
      <c r="M146" s="227">
        <v>12.76955603</v>
      </c>
    </row>
    <row r="147" spans="2:13" x14ac:dyDescent="0.2">
      <c r="B147" s="226" t="s">
        <v>292</v>
      </c>
      <c r="C147" s="121">
        <v>1432</v>
      </c>
      <c r="D147" s="227">
        <v>18.784916200000001</v>
      </c>
      <c r="E147" s="227">
        <v>26.396648039999999</v>
      </c>
      <c r="F147" s="227">
        <v>39.385474860000002</v>
      </c>
      <c r="G147" s="227">
        <v>12.22067039</v>
      </c>
      <c r="H147" s="227">
        <v>3.2122905030000002</v>
      </c>
      <c r="I147" s="227">
        <v>56.49441341</v>
      </c>
      <c r="J147" s="227">
        <v>9.916201117</v>
      </c>
      <c r="K147" s="227">
        <v>10.12569832</v>
      </c>
      <c r="L147" s="227">
        <v>12.77932961</v>
      </c>
      <c r="M147" s="227">
        <v>10.684357540000001</v>
      </c>
    </row>
    <row r="148" spans="2:13" x14ac:dyDescent="0.2">
      <c r="B148" s="226" t="s">
        <v>293</v>
      </c>
      <c r="C148" s="121">
        <v>2865</v>
      </c>
      <c r="D148" s="227">
        <v>15.84642234</v>
      </c>
      <c r="E148" s="227">
        <v>24.816753930000001</v>
      </c>
      <c r="F148" s="227">
        <v>41.570680629999998</v>
      </c>
      <c r="G148" s="227">
        <v>12.809773119999999</v>
      </c>
      <c r="H148" s="227">
        <v>4.9563699830000001</v>
      </c>
      <c r="I148" s="227">
        <v>53.263525309999999</v>
      </c>
      <c r="J148" s="227">
        <v>10.12216405</v>
      </c>
      <c r="K148" s="227">
        <v>10.191972079999999</v>
      </c>
      <c r="L148" s="227">
        <v>13.577661429999999</v>
      </c>
      <c r="M148" s="227">
        <v>12.84467714</v>
      </c>
    </row>
    <row r="149" spans="2:13" x14ac:dyDescent="0.2">
      <c r="B149" s="226" t="s">
        <v>294</v>
      </c>
      <c r="C149" s="121">
        <v>1606</v>
      </c>
      <c r="D149" s="227">
        <v>20.610211710000002</v>
      </c>
      <c r="E149" s="227">
        <v>24.595267750000001</v>
      </c>
      <c r="F149" s="227">
        <v>38.418430880000003</v>
      </c>
      <c r="G149" s="227">
        <v>11.89290162</v>
      </c>
      <c r="H149" s="227">
        <v>4.4831880450000003</v>
      </c>
      <c r="I149" s="227">
        <v>51.867995020000002</v>
      </c>
      <c r="J149" s="227">
        <v>9.2777085929999998</v>
      </c>
      <c r="K149" s="227">
        <v>9.0909090910000003</v>
      </c>
      <c r="L149" s="227">
        <v>16.002490659999999</v>
      </c>
      <c r="M149" s="227">
        <v>13.76089664</v>
      </c>
    </row>
    <row r="150" spans="2:13" x14ac:dyDescent="0.2">
      <c r="B150" s="226" t="s">
        <v>295</v>
      </c>
      <c r="C150" s="121">
        <v>2119</v>
      </c>
      <c r="D150" s="227">
        <v>16.847569610000001</v>
      </c>
      <c r="E150" s="227">
        <v>22.84096272</v>
      </c>
      <c r="F150" s="227">
        <v>35.677206230000003</v>
      </c>
      <c r="G150" s="227">
        <v>14.48796602</v>
      </c>
      <c r="H150" s="227">
        <v>10.14629542</v>
      </c>
      <c r="I150" s="227">
        <v>45.162812649999999</v>
      </c>
      <c r="J150" s="227">
        <v>9.3440302030000009</v>
      </c>
      <c r="K150" s="227">
        <v>8.7305332700000005</v>
      </c>
      <c r="L150" s="227">
        <v>16.422840959999998</v>
      </c>
      <c r="M150" s="227">
        <v>20.339782920000001</v>
      </c>
    </row>
    <row r="151" spans="2:13" x14ac:dyDescent="0.2">
      <c r="B151" s="226" t="s">
        <v>296</v>
      </c>
      <c r="C151" s="121">
        <v>2724</v>
      </c>
      <c r="D151" s="227">
        <v>19.97063142</v>
      </c>
      <c r="E151" s="227">
        <v>27.496328930000001</v>
      </c>
      <c r="F151" s="227">
        <v>37.738619679999999</v>
      </c>
      <c r="G151" s="227">
        <v>10.792951540000001</v>
      </c>
      <c r="H151" s="227">
        <v>4.001468429</v>
      </c>
      <c r="I151" s="227">
        <v>50.477239349999998</v>
      </c>
      <c r="J151" s="227">
        <v>8.002936858</v>
      </c>
      <c r="K151" s="227">
        <v>10.24229075</v>
      </c>
      <c r="L151" s="227">
        <v>15.234948599999999</v>
      </c>
      <c r="M151" s="227">
        <v>16.042584430000002</v>
      </c>
    </row>
    <row r="152" spans="2:13" x14ac:dyDescent="0.2">
      <c r="B152" s="226" t="s">
        <v>297</v>
      </c>
      <c r="C152" s="121">
        <v>1552</v>
      </c>
      <c r="D152" s="227">
        <v>16.043814430000001</v>
      </c>
      <c r="E152" s="227">
        <v>22.03608247</v>
      </c>
      <c r="F152" s="227">
        <v>41.494845359999999</v>
      </c>
      <c r="G152" s="227">
        <v>13.788659790000001</v>
      </c>
      <c r="H152" s="227">
        <v>6.6365979380000004</v>
      </c>
      <c r="I152" s="227">
        <v>45.618556699999999</v>
      </c>
      <c r="J152" s="227">
        <v>8.0541237110000008</v>
      </c>
      <c r="K152" s="227">
        <v>9.6649484539999992</v>
      </c>
      <c r="L152" s="227">
        <v>15.270618560000001</v>
      </c>
      <c r="M152" s="227">
        <v>21.391752579999999</v>
      </c>
    </row>
    <row r="153" spans="2:13" s="7" customFormat="1" x14ac:dyDescent="0.2">
      <c r="B153" s="228" t="s">
        <v>298</v>
      </c>
      <c r="C153" s="223">
        <v>18476</v>
      </c>
      <c r="D153" s="224">
        <v>18.764884169999998</v>
      </c>
      <c r="E153" s="224">
        <v>26.02294869</v>
      </c>
      <c r="F153" s="224">
        <v>37.903225810000002</v>
      </c>
      <c r="G153" s="224">
        <v>12.080536909999999</v>
      </c>
      <c r="H153" s="224">
        <v>5.2284044170000001</v>
      </c>
      <c r="I153" s="224">
        <v>52.873998700000001</v>
      </c>
      <c r="J153" s="224">
        <v>9.5475211079999998</v>
      </c>
      <c r="K153" s="224">
        <v>10.07793895</v>
      </c>
      <c r="L153" s="224">
        <v>13.80168868</v>
      </c>
      <c r="M153" s="224">
        <v>13.69885257</v>
      </c>
    </row>
    <row r="154" spans="2:13" x14ac:dyDescent="0.2">
      <c r="B154" s="226" t="s">
        <v>299</v>
      </c>
      <c r="C154" s="121">
        <v>500</v>
      </c>
      <c r="D154" s="227">
        <v>18.399999999999999</v>
      </c>
      <c r="E154" s="227">
        <v>25.2</v>
      </c>
      <c r="F154" s="227">
        <v>37.200000000000003</v>
      </c>
      <c r="G154" s="227">
        <v>12.6</v>
      </c>
      <c r="H154" s="227">
        <v>6.6</v>
      </c>
      <c r="I154" s="227">
        <v>52.6</v>
      </c>
      <c r="J154" s="227">
        <v>10.4</v>
      </c>
      <c r="K154" s="227">
        <v>11.2</v>
      </c>
      <c r="L154" s="227">
        <v>14</v>
      </c>
      <c r="M154" s="227">
        <v>11.8</v>
      </c>
    </row>
    <row r="155" spans="2:13" s="205" customFormat="1" x14ac:dyDescent="0.2">
      <c r="B155" s="229" t="s">
        <v>300</v>
      </c>
      <c r="C155" s="121">
        <v>772</v>
      </c>
      <c r="D155" s="227">
        <v>18.9119171</v>
      </c>
      <c r="E155" s="227">
        <v>25</v>
      </c>
      <c r="F155" s="227">
        <v>36.010362690000001</v>
      </c>
      <c r="G155" s="227">
        <v>13.860103629999999</v>
      </c>
      <c r="H155" s="227">
        <v>6.2176165799999996</v>
      </c>
      <c r="I155" s="227">
        <v>52.072538860000002</v>
      </c>
      <c r="J155" s="227">
        <v>10.492227979999999</v>
      </c>
      <c r="K155" s="227">
        <v>9.3264248700000003</v>
      </c>
      <c r="L155" s="227">
        <v>14.11917098</v>
      </c>
      <c r="M155" s="227">
        <v>13.989637310000001</v>
      </c>
    </row>
    <row r="156" spans="2:13" x14ac:dyDescent="0.2">
      <c r="B156" s="226" t="s">
        <v>301</v>
      </c>
      <c r="C156" s="121">
        <v>924</v>
      </c>
      <c r="D156" s="227">
        <v>16.666666670000001</v>
      </c>
      <c r="E156" s="227">
        <v>24.891774890000001</v>
      </c>
      <c r="F156" s="227">
        <v>40.47619048</v>
      </c>
      <c r="G156" s="227">
        <v>12.98701299</v>
      </c>
      <c r="H156" s="227">
        <v>4.9783549779999996</v>
      </c>
      <c r="I156" s="227">
        <v>53.8961039</v>
      </c>
      <c r="J156" s="227">
        <v>10.28138528</v>
      </c>
      <c r="K156" s="227">
        <v>11.03896104</v>
      </c>
      <c r="L156" s="227">
        <v>13.2034632</v>
      </c>
      <c r="M156" s="227">
        <v>11.58008658</v>
      </c>
    </row>
    <row r="157" spans="2:13" x14ac:dyDescent="0.2">
      <c r="B157" s="226" t="s">
        <v>302</v>
      </c>
      <c r="C157" s="121">
        <v>574</v>
      </c>
      <c r="D157" s="227">
        <v>20.557491290000002</v>
      </c>
      <c r="E157" s="227">
        <v>28.222996519999999</v>
      </c>
      <c r="F157" s="227">
        <v>35.017421599999999</v>
      </c>
      <c r="G157" s="227">
        <v>11.846689899999999</v>
      </c>
      <c r="H157" s="227">
        <v>4.3554006970000003</v>
      </c>
      <c r="I157" s="227">
        <v>52.264808360000004</v>
      </c>
      <c r="J157" s="227">
        <v>9.9303135890000007</v>
      </c>
      <c r="K157" s="227">
        <v>11.846689899999999</v>
      </c>
      <c r="L157" s="227">
        <v>14.634146339999999</v>
      </c>
      <c r="M157" s="227">
        <v>11.324041810000001</v>
      </c>
    </row>
    <row r="158" spans="2:13" x14ac:dyDescent="0.2">
      <c r="B158" s="229" t="s">
        <v>303</v>
      </c>
      <c r="C158" s="121">
        <v>313</v>
      </c>
      <c r="D158" s="227">
        <v>20.12779553</v>
      </c>
      <c r="E158" s="227">
        <v>17.8913738</v>
      </c>
      <c r="F158" s="227">
        <v>42.172523959999999</v>
      </c>
      <c r="G158" s="227">
        <v>15.654952079999999</v>
      </c>
      <c r="H158" s="227">
        <v>4.1533546330000002</v>
      </c>
      <c r="I158" s="227">
        <v>46.645367409999999</v>
      </c>
      <c r="J158" s="227">
        <v>8.6261980830000002</v>
      </c>
      <c r="K158" s="227">
        <v>12.14057508</v>
      </c>
      <c r="L158" s="227">
        <v>16.29392971</v>
      </c>
      <c r="M158" s="227">
        <v>16.29392971</v>
      </c>
    </row>
    <row r="159" spans="2:13" x14ac:dyDescent="0.2">
      <c r="B159" s="226" t="s">
        <v>304</v>
      </c>
      <c r="C159" s="121">
        <v>322</v>
      </c>
      <c r="D159" s="227">
        <v>23.60248447</v>
      </c>
      <c r="E159" s="227">
        <v>26.39751553</v>
      </c>
      <c r="F159" s="227">
        <v>36.645962730000001</v>
      </c>
      <c r="G159" s="227">
        <v>9.9378881989999996</v>
      </c>
      <c r="H159" s="227">
        <v>3.4161490680000002</v>
      </c>
      <c r="I159" s="227">
        <v>48.136645960000003</v>
      </c>
      <c r="J159" s="227">
        <v>10.55900621</v>
      </c>
      <c r="K159" s="227">
        <v>9.9378881989999996</v>
      </c>
      <c r="L159" s="227">
        <v>19.254658389999999</v>
      </c>
      <c r="M159" s="227">
        <v>12.11180124</v>
      </c>
    </row>
    <row r="160" spans="2:13" x14ac:dyDescent="0.2">
      <c r="B160" s="226" t="s">
        <v>305</v>
      </c>
      <c r="C160" s="121">
        <v>1528</v>
      </c>
      <c r="D160" s="227">
        <v>15.37958115</v>
      </c>
      <c r="E160" s="227">
        <v>31.544502619999999</v>
      </c>
      <c r="F160" s="227">
        <v>39.005235599999999</v>
      </c>
      <c r="G160" s="227">
        <v>10.994764399999999</v>
      </c>
      <c r="H160" s="227">
        <v>3.0759162299999998</v>
      </c>
      <c r="I160" s="227">
        <v>50.916230370000001</v>
      </c>
      <c r="J160" s="227">
        <v>11.78010471</v>
      </c>
      <c r="K160" s="227">
        <v>10.732984289999999</v>
      </c>
      <c r="L160" s="227">
        <v>13.416230369999999</v>
      </c>
      <c r="M160" s="227">
        <v>13.154450260000001</v>
      </c>
    </row>
    <row r="161" spans="2:13" x14ac:dyDescent="0.2">
      <c r="B161" s="226" t="s">
        <v>306</v>
      </c>
      <c r="C161" s="121">
        <v>555</v>
      </c>
      <c r="D161" s="227">
        <v>18.378378380000001</v>
      </c>
      <c r="E161" s="227">
        <v>28.468468470000001</v>
      </c>
      <c r="F161" s="227">
        <v>38.378378380000001</v>
      </c>
      <c r="G161" s="227">
        <v>12.072072070000001</v>
      </c>
      <c r="H161" s="227">
        <v>2.7027027029999999</v>
      </c>
      <c r="I161" s="227">
        <v>50.630630629999999</v>
      </c>
      <c r="J161" s="227">
        <v>9.3693693689999993</v>
      </c>
      <c r="K161" s="227">
        <v>9.5495495500000001</v>
      </c>
      <c r="L161" s="227">
        <v>14.954954949999999</v>
      </c>
      <c r="M161" s="227">
        <v>15.495495500000001</v>
      </c>
    </row>
    <row r="162" spans="2:13" x14ac:dyDescent="0.2">
      <c r="B162" s="226" t="s">
        <v>307</v>
      </c>
      <c r="C162" s="121">
        <v>632</v>
      </c>
      <c r="D162" s="227">
        <v>18.51265823</v>
      </c>
      <c r="E162" s="227">
        <v>24.841772150000001</v>
      </c>
      <c r="F162" s="227">
        <v>36.392405060000002</v>
      </c>
      <c r="G162" s="227">
        <v>15.348101270000001</v>
      </c>
      <c r="H162" s="227">
        <v>4.9050632910000003</v>
      </c>
      <c r="I162" s="227">
        <v>51.265822780000001</v>
      </c>
      <c r="J162" s="227">
        <v>8.2278481009999993</v>
      </c>
      <c r="K162" s="227">
        <v>10.126582279999999</v>
      </c>
      <c r="L162" s="227">
        <v>14.556962029999999</v>
      </c>
      <c r="M162" s="227">
        <v>15.82278481</v>
      </c>
    </row>
    <row r="163" spans="2:13" x14ac:dyDescent="0.2">
      <c r="B163" s="226" t="s">
        <v>308</v>
      </c>
      <c r="C163" s="121">
        <v>696</v>
      </c>
      <c r="D163" s="227">
        <v>18.82183908</v>
      </c>
      <c r="E163" s="227">
        <v>25.287356320000001</v>
      </c>
      <c r="F163" s="227">
        <v>41.810344829999998</v>
      </c>
      <c r="G163" s="227">
        <v>9.6264367820000007</v>
      </c>
      <c r="H163" s="227">
        <v>4.4540229890000003</v>
      </c>
      <c r="I163" s="227">
        <v>52.011494249999998</v>
      </c>
      <c r="J163" s="227">
        <v>10.201149429999999</v>
      </c>
      <c r="K163" s="227">
        <v>10.63218391</v>
      </c>
      <c r="L163" s="227">
        <v>12.931034479999999</v>
      </c>
      <c r="M163" s="227">
        <v>14.224137929999999</v>
      </c>
    </row>
    <row r="164" spans="2:13" x14ac:dyDescent="0.2">
      <c r="B164" s="226" t="s">
        <v>309</v>
      </c>
      <c r="C164" s="121">
        <v>99</v>
      </c>
      <c r="D164" s="227">
        <v>15.15151515</v>
      </c>
      <c r="E164" s="227">
        <v>33.333333330000002</v>
      </c>
      <c r="F164" s="227">
        <v>29.29292929</v>
      </c>
      <c r="G164" s="227">
        <v>14.14141414</v>
      </c>
      <c r="H164" s="227">
        <v>8.0808080810000007</v>
      </c>
      <c r="I164" s="227">
        <v>57.575757580000001</v>
      </c>
      <c r="J164" s="227">
        <v>7.0707070710000002</v>
      </c>
      <c r="K164" s="227">
        <v>7.0707070710000002</v>
      </c>
      <c r="L164" s="227">
        <v>12.121212119999999</v>
      </c>
      <c r="M164" s="227">
        <v>16.161616160000001</v>
      </c>
    </row>
    <row r="165" spans="2:13" x14ac:dyDescent="0.2">
      <c r="B165" s="226" t="s">
        <v>310</v>
      </c>
      <c r="C165" s="121">
        <v>179</v>
      </c>
      <c r="D165" s="227">
        <v>20.111731840000001</v>
      </c>
      <c r="E165" s="227">
        <v>20.67039106</v>
      </c>
      <c r="F165" s="227">
        <v>40.223463690000003</v>
      </c>
      <c r="G165" s="227">
        <v>10.61452514</v>
      </c>
      <c r="H165" s="227">
        <v>8.3798882680000002</v>
      </c>
      <c r="I165" s="227">
        <v>41.34078212</v>
      </c>
      <c r="J165" s="227">
        <v>10.05586592</v>
      </c>
      <c r="K165" s="227">
        <v>13.40782123</v>
      </c>
      <c r="L165" s="227">
        <v>15.08379888</v>
      </c>
      <c r="M165" s="227">
        <v>20.111731840000001</v>
      </c>
    </row>
    <row r="166" spans="2:13" x14ac:dyDescent="0.2">
      <c r="B166" s="226" t="s">
        <v>311</v>
      </c>
      <c r="C166" s="121">
        <v>1791</v>
      </c>
      <c r="D166" s="227">
        <v>19.70965941</v>
      </c>
      <c r="E166" s="227">
        <v>24.790619769999999</v>
      </c>
      <c r="F166" s="227">
        <v>36.404243440000002</v>
      </c>
      <c r="G166" s="227">
        <v>13.791178110000001</v>
      </c>
      <c r="H166" s="227">
        <v>5.3042992739999999</v>
      </c>
      <c r="I166" s="227">
        <v>56.560580680000001</v>
      </c>
      <c r="J166" s="227">
        <v>8.7102177550000004</v>
      </c>
      <c r="K166" s="227">
        <v>9.0452261309999997</v>
      </c>
      <c r="L166" s="227">
        <v>12.00446678</v>
      </c>
      <c r="M166" s="227">
        <v>13.679508650000001</v>
      </c>
    </row>
    <row r="167" spans="2:13" x14ac:dyDescent="0.2">
      <c r="B167" s="226" t="s">
        <v>312</v>
      </c>
      <c r="C167" s="121">
        <v>557</v>
      </c>
      <c r="D167" s="227">
        <v>16.51705566</v>
      </c>
      <c r="E167" s="227">
        <v>26.92998205</v>
      </c>
      <c r="F167" s="227">
        <v>40.215439859999996</v>
      </c>
      <c r="G167" s="227">
        <v>9.3357271100000006</v>
      </c>
      <c r="H167" s="227">
        <v>7.0017953320000004</v>
      </c>
      <c r="I167" s="227">
        <v>52.244165170000002</v>
      </c>
      <c r="J167" s="227">
        <v>9.8743267499999998</v>
      </c>
      <c r="K167" s="227">
        <v>11.13105925</v>
      </c>
      <c r="L167" s="227">
        <v>15.08078995</v>
      </c>
      <c r="M167" s="227">
        <v>11.669658889999999</v>
      </c>
    </row>
    <row r="168" spans="2:13" x14ac:dyDescent="0.2">
      <c r="B168" s="226" t="s">
        <v>522</v>
      </c>
      <c r="C168" s="121">
        <v>4132</v>
      </c>
      <c r="D168" s="227">
        <v>18.756050340000002</v>
      </c>
      <c r="E168" s="227">
        <v>27.347531459999999</v>
      </c>
      <c r="F168" s="227">
        <v>37.875121010000001</v>
      </c>
      <c r="G168" s="227">
        <v>10.454985479999999</v>
      </c>
      <c r="H168" s="227">
        <v>5.5663117130000002</v>
      </c>
      <c r="I168" s="227">
        <v>54.453049370000002</v>
      </c>
      <c r="J168" s="227">
        <v>8.9545014520000006</v>
      </c>
      <c r="K168" s="227">
        <v>9.4385285579999998</v>
      </c>
      <c r="L168" s="227">
        <v>13.528557599999999</v>
      </c>
      <c r="M168" s="227">
        <v>13.62536302</v>
      </c>
    </row>
    <row r="169" spans="2:13" x14ac:dyDescent="0.2">
      <c r="B169" s="226" t="s">
        <v>313</v>
      </c>
      <c r="C169" s="121">
        <v>774</v>
      </c>
      <c r="D169" s="227">
        <v>20.284237730000001</v>
      </c>
      <c r="E169" s="227">
        <v>23.90180879</v>
      </c>
      <c r="F169" s="227">
        <v>36.950904389999998</v>
      </c>
      <c r="G169" s="227">
        <v>13.953488370000001</v>
      </c>
      <c r="H169" s="227">
        <v>4.9095607240000003</v>
      </c>
      <c r="I169" s="227">
        <v>55.426356589999997</v>
      </c>
      <c r="J169" s="227">
        <v>8.3979328169999992</v>
      </c>
      <c r="K169" s="227">
        <v>10.206718349999999</v>
      </c>
      <c r="L169" s="227">
        <v>14.341085270000001</v>
      </c>
      <c r="M169" s="227">
        <v>11.627906980000001</v>
      </c>
    </row>
    <row r="170" spans="2:13" x14ac:dyDescent="0.2">
      <c r="B170" s="226" t="s">
        <v>314</v>
      </c>
      <c r="C170" s="121">
        <v>457</v>
      </c>
      <c r="D170" s="227">
        <v>19.25601751</v>
      </c>
      <c r="E170" s="227">
        <v>18.818380739999998</v>
      </c>
      <c r="F170" s="227">
        <v>40.919037199999998</v>
      </c>
      <c r="G170" s="227">
        <v>14.442013129999999</v>
      </c>
      <c r="H170" s="227">
        <v>6.5645514220000001</v>
      </c>
      <c r="I170" s="227">
        <v>51.641137860000001</v>
      </c>
      <c r="J170" s="227">
        <v>8.9715536109999992</v>
      </c>
      <c r="K170" s="227">
        <v>10.940919040000001</v>
      </c>
      <c r="L170" s="227">
        <v>13.785557989999999</v>
      </c>
      <c r="M170" s="227">
        <v>14.66083151</v>
      </c>
    </row>
    <row r="171" spans="2:13" x14ac:dyDescent="0.2">
      <c r="B171" s="226" t="s">
        <v>315</v>
      </c>
      <c r="C171" s="121">
        <v>2185</v>
      </c>
      <c r="D171" s="227">
        <v>19.496567509999998</v>
      </c>
      <c r="E171" s="227">
        <v>24.897025169999999</v>
      </c>
      <c r="F171" s="227">
        <v>36.933638440000003</v>
      </c>
      <c r="G171" s="227">
        <v>12.540045770000001</v>
      </c>
      <c r="H171" s="227">
        <v>6.1327231119999999</v>
      </c>
      <c r="I171" s="227">
        <v>53.226544619999999</v>
      </c>
      <c r="J171" s="227">
        <v>9.2906178490000002</v>
      </c>
      <c r="K171" s="227">
        <v>10.06864989</v>
      </c>
      <c r="L171" s="227">
        <v>12.81464531</v>
      </c>
      <c r="M171" s="227">
        <v>14.59954233</v>
      </c>
    </row>
    <row r="172" spans="2:13" x14ac:dyDescent="0.2">
      <c r="B172" s="226" t="s">
        <v>316</v>
      </c>
      <c r="C172" s="121">
        <v>1486</v>
      </c>
      <c r="D172" s="227">
        <v>19.582772540000001</v>
      </c>
      <c r="E172" s="227">
        <v>25.168236879999998</v>
      </c>
      <c r="F172" s="227">
        <v>37.819650070000002</v>
      </c>
      <c r="G172" s="227">
        <v>12.247644680000001</v>
      </c>
      <c r="H172" s="227">
        <v>5.1816958279999996</v>
      </c>
      <c r="I172" s="227">
        <v>50.269179000000001</v>
      </c>
      <c r="J172" s="227">
        <v>9.9596231490000005</v>
      </c>
      <c r="K172" s="227">
        <v>9.7577388959999993</v>
      </c>
      <c r="L172" s="227">
        <v>15.545087479999999</v>
      </c>
      <c r="M172" s="227">
        <v>14.468371469999999</v>
      </c>
    </row>
    <row r="173" spans="2:13" s="7" customFormat="1" x14ac:dyDescent="0.2">
      <c r="B173" s="228" t="s">
        <v>317</v>
      </c>
      <c r="C173" s="223">
        <v>25984</v>
      </c>
      <c r="D173" s="224">
        <v>18.030326349999999</v>
      </c>
      <c r="E173" s="224">
        <v>23.745381770000002</v>
      </c>
      <c r="F173" s="224">
        <v>39.224137929999998</v>
      </c>
      <c r="G173" s="224">
        <v>12.57312192</v>
      </c>
      <c r="H173" s="224">
        <v>6.4270320200000004</v>
      </c>
      <c r="I173" s="224">
        <v>53.413639160000002</v>
      </c>
      <c r="J173" s="224">
        <v>9.1902709359999992</v>
      </c>
      <c r="K173" s="224">
        <v>9.5943657640000009</v>
      </c>
      <c r="L173" s="224">
        <v>13.13500616</v>
      </c>
      <c r="M173" s="224">
        <v>14.66671798</v>
      </c>
    </row>
    <row r="174" spans="2:13" x14ac:dyDescent="0.2">
      <c r="B174" s="226" t="s">
        <v>318</v>
      </c>
      <c r="C174" s="121">
        <v>445</v>
      </c>
      <c r="D174" s="227">
        <v>19.325842699999999</v>
      </c>
      <c r="E174" s="227">
        <v>27.41573034</v>
      </c>
      <c r="F174" s="227">
        <v>42.696629209999998</v>
      </c>
      <c r="G174" s="227">
        <v>8.5393258430000003</v>
      </c>
      <c r="H174" s="227">
        <v>2.0224719100000002</v>
      </c>
      <c r="I174" s="227">
        <v>45.168539330000002</v>
      </c>
      <c r="J174" s="227">
        <v>9.2134831459999997</v>
      </c>
      <c r="K174" s="227">
        <v>10.112359550000001</v>
      </c>
      <c r="L174" s="227">
        <v>16.179775280000001</v>
      </c>
      <c r="M174" s="227">
        <v>19.325842699999999</v>
      </c>
    </row>
    <row r="175" spans="2:13" s="205" customFormat="1" x14ac:dyDescent="0.2">
      <c r="B175" s="229" t="s">
        <v>319</v>
      </c>
      <c r="C175" s="121">
        <v>3128</v>
      </c>
      <c r="D175" s="227">
        <v>15.121483380000001</v>
      </c>
      <c r="E175" s="227">
        <v>20.748081840000001</v>
      </c>
      <c r="F175" s="227">
        <v>43.318414320000002</v>
      </c>
      <c r="G175" s="227">
        <v>15.24936061</v>
      </c>
      <c r="H175" s="227">
        <v>5.5626598469999999</v>
      </c>
      <c r="I175" s="227">
        <v>55.434782609999999</v>
      </c>
      <c r="J175" s="227">
        <v>9.3989769820000006</v>
      </c>
      <c r="K175" s="227">
        <v>10.67774936</v>
      </c>
      <c r="L175" s="227">
        <v>13.778772379999999</v>
      </c>
      <c r="M175" s="227">
        <v>10.709718670000001</v>
      </c>
    </row>
    <row r="176" spans="2:13" x14ac:dyDescent="0.2">
      <c r="B176" s="226" t="s">
        <v>320</v>
      </c>
      <c r="C176" s="121">
        <v>2056</v>
      </c>
      <c r="D176" s="227">
        <v>17.99610895</v>
      </c>
      <c r="E176" s="227">
        <v>18.385214009999999</v>
      </c>
      <c r="F176" s="227">
        <v>34.435797669999999</v>
      </c>
      <c r="G176" s="227">
        <v>15.85603113</v>
      </c>
      <c r="H176" s="227">
        <v>13.326848249999999</v>
      </c>
      <c r="I176" s="227">
        <v>47.227626460000003</v>
      </c>
      <c r="J176" s="227">
        <v>7.6361867700000001</v>
      </c>
      <c r="K176" s="227">
        <v>8.9494163419999992</v>
      </c>
      <c r="L176" s="227">
        <v>13.229571979999999</v>
      </c>
      <c r="M176" s="227">
        <v>22.957198439999999</v>
      </c>
    </row>
    <row r="177" spans="2:13" x14ac:dyDescent="0.2">
      <c r="B177" s="226" t="s">
        <v>321</v>
      </c>
      <c r="C177" s="121">
        <v>5910</v>
      </c>
      <c r="D177" s="227">
        <v>18.392554990000001</v>
      </c>
      <c r="E177" s="227">
        <v>24.619289340000002</v>
      </c>
      <c r="F177" s="227">
        <v>40.118443319999997</v>
      </c>
      <c r="G177" s="227">
        <v>11.81049069</v>
      </c>
      <c r="H177" s="227">
        <v>5.0592216580000002</v>
      </c>
      <c r="I177" s="227">
        <v>55.313028760000002</v>
      </c>
      <c r="J177" s="227">
        <v>9.2385786799999998</v>
      </c>
      <c r="K177" s="227">
        <v>9.0355329950000005</v>
      </c>
      <c r="L177" s="227">
        <v>12.35194585</v>
      </c>
      <c r="M177" s="227">
        <v>14.060913709999999</v>
      </c>
    </row>
    <row r="178" spans="2:13" x14ac:dyDescent="0.2">
      <c r="B178" s="229" t="s">
        <v>322</v>
      </c>
      <c r="C178" s="121">
        <v>755</v>
      </c>
      <c r="D178" s="227">
        <v>18.01324503</v>
      </c>
      <c r="E178" s="227">
        <v>26.88741722</v>
      </c>
      <c r="F178" s="227">
        <v>40.79470199</v>
      </c>
      <c r="G178" s="227">
        <v>10.066225169999999</v>
      </c>
      <c r="H178" s="227">
        <v>4.2384105959999996</v>
      </c>
      <c r="I178" s="227">
        <v>58.675496690000003</v>
      </c>
      <c r="J178" s="227">
        <v>7.8145695359999996</v>
      </c>
      <c r="K178" s="227">
        <v>9.801324503</v>
      </c>
      <c r="L178" s="227">
        <v>10.33112583</v>
      </c>
      <c r="M178" s="227">
        <v>13.377483440000001</v>
      </c>
    </row>
    <row r="179" spans="2:13" x14ac:dyDescent="0.2">
      <c r="B179" s="226" t="s">
        <v>323</v>
      </c>
      <c r="C179" s="121">
        <v>565</v>
      </c>
      <c r="D179" s="227">
        <v>21.238938050000002</v>
      </c>
      <c r="E179" s="227">
        <v>26.902654869999999</v>
      </c>
      <c r="F179" s="227">
        <v>36.991150439999998</v>
      </c>
      <c r="G179" s="227">
        <v>11.68141593</v>
      </c>
      <c r="H179" s="227">
        <v>3.1858407080000002</v>
      </c>
      <c r="I179" s="227">
        <v>53.27433628</v>
      </c>
      <c r="J179" s="227">
        <v>8.4955752209999993</v>
      </c>
      <c r="K179" s="227">
        <v>9.3805309730000008</v>
      </c>
      <c r="L179" s="227">
        <v>15.75221239</v>
      </c>
      <c r="M179" s="227">
        <v>13.097345130000001</v>
      </c>
    </row>
    <row r="180" spans="2:13" x14ac:dyDescent="0.2">
      <c r="B180" s="226" t="s">
        <v>324</v>
      </c>
      <c r="C180" s="121">
        <v>214</v>
      </c>
      <c r="D180" s="227">
        <v>19.62616822</v>
      </c>
      <c r="E180" s="227">
        <v>18.224299070000001</v>
      </c>
      <c r="F180" s="227">
        <v>30.37383178</v>
      </c>
      <c r="G180" s="227">
        <v>18.691588790000001</v>
      </c>
      <c r="H180" s="227">
        <v>13.084112149999999</v>
      </c>
      <c r="I180" s="227">
        <v>40.186915890000002</v>
      </c>
      <c r="J180" s="227">
        <v>5.1401869160000002</v>
      </c>
      <c r="K180" s="227">
        <v>11.682242990000001</v>
      </c>
      <c r="L180" s="227">
        <v>15.88785047</v>
      </c>
      <c r="M180" s="227">
        <v>27.102803739999999</v>
      </c>
    </row>
    <row r="181" spans="2:13" x14ac:dyDescent="0.2">
      <c r="B181" s="226" t="s">
        <v>325</v>
      </c>
      <c r="C181" s="121">
        <v>7361</v>
      </c>
      <c r="D181" s="227">
        <v>18.421410130000002</v>
      </c>
      <c r="E181" s="227">
        <v>24.602635509999999</v>
      </c>
      <c r="F181" s="227">
        <v>38.975682650000003</v>
      </c>
      <c r="G181" s="227">
        <v>11.819046330000001</v>
      </c>
      <c r="H181" s="227">
        <v>6.1812253769999996</v>
      </c>
      <c r="I181" s="227">
        <v>55.508762400000002</v>
      </c>
      <c r="J181" s="227">
        <v>9.7405243850000005</v>
      </c>
      <c r="K181" s="227">
        <v>9.7541094959999999</v>
      </c>
      <c r="L181" s="227">
        <v>12.06357832</v>
      </c>
      <c r="M181" s="227">
        <v>12.9330254</v>
      </c>
    </row>
    <row r="182" spans="2:13" x14ac:dyDescent="0.2">
      <c r="B182" s="226" t="s">
        <v>326</v>
      </c>
      <c r="C182" s="121">
        <v>458</v>
      </c>
      <c r="D182" s="227">
        <v>15.502183410000001</v>
      </c>
      <c r="E182" s="227">
        <v>27.947598249999999</v>
      </c>
      <c r="F182" s="227">
        <v>41.921397380000002</v>
      </c>
      <c r="G182" s="227">
        <v>11.35371179</v>
      </c>
      <c r="H182" s="227">
        <v>3.2751091699999999</v>
      </c>
      <c r="I182" s="227">
        <v>43.886462880000003</v>
      </c>
      <c r="J182" s="227">
        <v>13.10043668</v>
      </c>
      <c r="K182" s="227">
        <v>10.91703057</v>
      </c>
      <c r="L182" s="227">
        <v>17.030567690000002</v>
      </c>
      <c r="M182" s="227">
        <v>15.065502179999999</v>
      </c>
    </row>
    <row r="183" spans="2:13" x14ac:dyDescent="0.2">
      <c r="B183" s="226" t="s">
        <v>523</v>
      </c>
      <c r="C183" s="121">
        <v>1717</v>
      </c>
      <c r="D183" s="227">
        <v>17.99650553</v>
      </c>
      <c r="E183" s="227">
        <v>25.80081538</v>
      </c>
      <c r="F183" s="227">
        <v>39.021549210000003</v>
      </c>
      <c r="G183" s="227">
        <v>11.357018050000001</v>
      </c>
      <c r="H183" s="227">
        <v>5.824111823</v>
      </c>
      <c r="I183" s="227">
        <v>57.076295860000002</v>
      </c>
      <c r="J183" s="227">
        <v>8.9691322069999995</v>
      </c>
      <c r="K183" s="227">
        <v>10.017472339999999</v>
      </c>
      <c r="L183" s="227">
        <v>12.28887595</v>
      </c>
      <c r="M183" s="227">
        <v>11.64822365</v>
      </c>
    </row>
    <row r="184" spans="2:13" x14ac:dyDescent="0.2">
      <c r="B184" s="226" t="s">
        <v>327</v>
      </c>
      <c r="C184" s="121">
        <v>1074</v>
      </c>
      <c r="D184" s="227">
        <v>18.52886406</v>
      </c>
      <c r="E184" s="227">
        <v>21.97392924</v>
      </c>
      <c r="F184" s="227">
        <v>33.61266294</v>
      </c>
      <c r="G184" s="227">
        <v>15.45623836</v>
      </c>
      <c r="H184" s="227">
        <v>10.428305399999999</v>
      </c>
      <c r="I184" s="227">
        <v>45.344506520000003</v>
      </c>
      <c r="J184" s="227">
        <v>10.242085660000001</v>
      </c>
      <c r="K184" s="227">
        <v>9.0316573560000002</v>
      </c>
      <c r="L184" s="227">
        <v>14.711359399999999</v>
      </c>
      <c r="M184" s="227">
        <v>20.67039106</v>
      </c>
    </row>
    <row r="185" spans="2:13" x14ac:dyDescent="0.2">
      <c r="B185" s="226" t="s">
        <v>328</v>
      </c>
      <c r="C185" s="121">
        <v>568</v>
      </c>
      <c r="D185" s="227">
        <v>20.950704229999999</v>
      </c>
      <c r="E185" s="227">
        <v>25</v>
      </c>
      <c r="F185" s="227">
        <v>38.908450700000003</v>
      </c>
      <c r="G185" s="227">
        <v>10.03521127</v>
      </c>
      <c r="H185" s="227">
        <v>5.1056338029999999</v>
      </c>
      <c r="I185" s="227">
        <v>44.542253520000003</v>
      </c>
      <c r="J185" s="227">
        <v>9.5070422539999999</v>
      </c>
      <c r="K185" s="227">
        <v>8.8028169009999999</v>
      </c>
      <c r="L185" s="227">
        <v>16.901408450000002</v>
      </c>
      <c r="M185" s="227">
        <v>20.246478870000001</v>
      </c>
    </row>
    <row r="186" spans="2:13" x14ac:dyDescent="0.2">
      <c r="B186" s="226" t="s">
        <v>329</v>
      </c>
      <c r="C186" s="121">
        <v>1263</v>
      </c>
      <c r="D186" s="227">
        <v>17.814726839999999</v>
      </c>
      <c r="E186" s="227">
        <v>24.86144101</v>
      </c>
      <c r="F186" s="227">
        <v>37.846397469999999</v>
      </c>
      <c r="G186" s="227">
        <v>12.27236738</v>
      </c>
      <c r="H186" s="227">
        <v>7.2050672999999996</v>
      </c>
      <c r="I186" s="227">
        <v>50.673000790000003</v>
      </c>
      <c r="J186" s="227">
        <v>7.9176563739999999</v>
      </c>
      <c r="K186" s="227">
        <v>8.8677751390000008</v>
      </c>
      <c r="L186" s="227">
        <v>14.726840859999999</v>
      </c>
      <c r="M186" s="227">
        <v>17.814726839999999</v>
      </c>
    </row>
    <row r="187" spans="2:13" x14ac:dyDescent="0.2">
      <c r="B187" s="226" t="s">
        <v>330</v>
      </c>
      <c r="C187" s="121">
        <v>470</v>
      </c>
      <c r="D187" s="227">
        <v>19.57446809</v>
      </c>
      <c r="E187" s="227">
        <v>20.851063830000001</v>
      </c>
      <c r="F187" s="227">
        <v>41.489361700000003</v>
      </c>
      <c r="G187" s="227">
        <v>10.851063829999999</v>
      </c>
      <c r="H187" s="227">
        <v>7.2340425530000001</v>
      </c>
      <c r="I187" s="227">
        <v>48.297872339999998</v>
      </c>
      <c r="J187" s="227">
        <v>7.8723404260000001</v>
      </c>
      <c r="K187" s="227">
        <v>9.5744680849999995</v>
      </c>
      <c r="L187" s="227">
        <v>19.148936169999999</v>
      </c>
      <c r="M187" s="227">
        <v>15.106382979999999</v>
      </c>
    </row>
    <row r="188" spans="2:13" s="7" customFormat="1" x14ac:dyDescent="0.2">
      <c r="B188" s="228" t="s">
        <v>331</v>
      </c>
      <c r="C188" s="223">
        <v>38883</v>
      </c>
      <c r="D188" s="224">
        <v>18.77169971</v>
      </c>
      <c r="E188" s="224">
        <v>28.992104520000002</v>
      </c>
      <c r="F188" s="224">
        <v>39.495409299999999</v>
      </c>
      <c r="G188" s="224">
        <v>9.2714039550000003</v>
      </c>
      <c r="H188" s="224">
        <v>3.4693825060000001</v>
      </c>
      <c r="I188" s="224">
        <v>56.56199367</v>
      </c>
      <c r="J188" s="224">
        <v>9.4848648509999993</v>
      </c>
      <c r="K188" s="224">
        <v>9.7034693829999998</v>
      </c>
      <c r="L188" s="224">
        <v>12.69192192</v>
      </c>
      <c r="M188" s="224">
        <v>11.55775017</v>
      </c>
    </row>
    <row r="189" spans="2:13" x14ac:dyDescent="0.2">
      <c r="B189" s="226" t="s">
        <v>332</v>
      </c>
      <c r="C189" s="121">
        <v>4103</v>
      </c>
      <c r="D189" s="227">
        <v>20.05849379</v>
      </c>
      <c r="E189" s="227">
        <v>29.831830369999999</v>
      </c>
      <c r="F189" s="227">
        <v>39.824518640000001</v>
      </c>
      <c r="G189" s="227">
        <v>7.8722885690000002</v>
      </c>
      <c r="H189" s="227">
        <v>2.412868633</v>
      </c>
      <c r="I189" s="227">
        <v>64.318791129999994</v>
      </c>
      <c r="J189" s="227">
        <v>8.9690470389999994</v>
      </c>
      <c r="K189" s="227">
        <v>9.4077504269999999</v>
      </c>
      <c r="L189" s="227">
        <v>9.8951986349999999</v>
      </c>
      <c r="M189" s="227">
        <v>7.409212771</v>
      </c>
    </row>
    <row r="190" spans="2:13" s="205" customFormat="1" x14ac:dyDescent="0.2">
      <c r="B190" s="229" t="s">
        <v>333</v>
      </c>
      <c r="C190" s="121">
        <v>158</v>
      </c>
      <c r="D190" s="227">
        <v>24.050632910000001</v>
      </c>
      <c r="E190" s="227">
        <v>26.582278479999999</v>
      </c>
      <c r="F190" s="227">
        <v>37.341772149999997</v>
      </c>
      <c r="G190" s="227">
        <v>7.5949367089999997</v>
      </c>
      <c r="H190" s="227">
        <v>4.4303797469999999</v>
      </c>
      <c r="I190" s="227">
        <v>44.303797469999999</v>
      </c>
      <c r="J190" s="227">
        <v>10.126582279999999</v>
      </c>
      <c r="K190" s="227">
        <v>8.8607594939999998</v>
      </c>
      <c r="L190" s="227">
        <v>20.253164559999998</v>
      </c>
      <c r="M190" s="227">
        <v>16.455696199999998</v>
      </c>
    </row>
    <row r="191" spans="2:13" x14ac:dyDescent="0.2">
      <c r="B191" s="226" t="s">
        <v>334</v>
      </c>
      <c r="C191" s="121">
        <v>459</v>
      </c>
      <c r="D191" s="227">
        <v>18.518518520000001</v>
      </c>
      <c r="E191" s="227">
        <v>28.758169930000001</v>
      </c>
      <c r="F191" s="227">
        <v>37.690631809999999</v>
      </c>
      <c r="G191" s="227">
        <v>11.11111111</v>
      </c>
      <c r="H191" s="227">
        <v>3.9215686270000001</v>
      </c>
      <c r="I191" s="227">
        <v>49.019607839999999</v>
      </c>
      <c r="J191" s="227">
        <v>9.3681917210000005</v>
      </c>
      <c r="K191" s="227">
        <v>11.764705879999999</v>
      </c>
      <c r="L191" s="227">
        <v>15.250544659999999</v>
      </c>
      <c r="M191" s="227">
        <v>14.596949889999999</v>
      </c>
    </row>
    <row r="192" spans="2:13" x14ac:dyDescent="0.2">
      <c r="B192" s="226" t="s">
        <v>335</v>
      </c>
      <c r="C192" s="121">
        <v>2131</v>
      </c>
      <c r="D192" s="227">
        <v>18.30126701</v>
      </c>
      <c r="E192" s="227">
        <v>26.41952135</v>
      </c>
      <c r="F192" s="227">
        <v>41.060534959999998</v>
      </c>
      <c r="G192" s="227">
        <v>10.370717969999999</v>
      </c>
      <c r="H192" s="227">
        <v>3.8479587049999999</v>
      </c>
      <c r="I192" s="227">
        <v>50.305021119999999</v>
      </c>
      <c r="J192" s="227">
        <v>9.3383388079999996</v>
      </c>
      <c r="K192" s="227">
        <v>11.309244489999999</v>
      </c>
      <c r="L192" s="227">
        <v>15.76724542</v>
      </c>
      <c r="M192" s="227">
        <v>13.28015016</v>
      </c>
    </row>
    <row r="193" spans="2:13" x14ac:dyDescent="0.2">
      <c r="B193" s="229" t="s">
        <v>336</v>
      </c>
      <c r="C193" s="121">
        <v>490</v>
      </c>
      <c r="D193" s="227">
        <v>15.30612245</v>
      </c>
      <c r="E193" s="227">
        <v>34.489795919999999</v>
      </c>
      <c r="F193" s="227">
        <v>40.408163270000003</v>
      </c>
      <c r="G193" s="227">
        <v>6.9387755100000001</v>
      </c>
      <c r="H193" s="227">
        <v>2.8571428569999999</v>
      </c>
      <c r="I193" s="227">
        <v>51.83673469</v>
      </c>
      <c r="J193" s="227">
        <v>7.7551020409999998</v>
      </c>
      <c r="K193" s="227">
        <v>12.04081633</v>
      </c>
      <c r="L193" s="227">
        <v>16.53061224</v>
      </c>
      <c r="M193" s="227">
        <v>11.83673469</v>
      </c>
    </row>
    <row r="194" spans="2:13" x14ac:dyDescent="0.2">
      <c r="B194" s="226" t="s">
        <v>337</v>
      </c>
      <c r="C194" s="121">
        <v>2416</v>
      </c>
      <c r="D194" s="227">
        <v>18.83278146</v>
      </c>
      <c r="E194" s="227">
        <v>28.600993379999998</v>
      </c>
      <c r="F194" s="227">
        <v>37.58278146</v>
      </c>
      <c r="G194" s="227">
        <v>11.0513245</v>
      </c>
      <c r="H194" s="227">
        <v>3.9321192049999998</v>
      </c>
      <c r="I194" s="227">
        <v>57.533112580000001</v>
      </c>
      <c r="J194" s="227">
        <v>8.0298013249999993</v>
      </c>
      <c r="K194" s="227">
        <v>9.3543046360000002</v>
      </c>
      <c r="L194" s="227">
        <v>11.589403969999999</v>
      </c>
      <c r="M194" s="227">
        <v>13.493377479999999</v>
      </c>
    </row>
    <row r="195" spans="2:13" x14ac:dyDescent="0.2">
      <c r="B195" s="226" t="s">
        <v>338</v>
      </c>
      <c r="C195" s="121">
        <v>508</v>
      </c>
      <c r="D195" s="227">
        <v>21.65354331</v>
      </c>
      <c r="E195" s="227">
        <v>29.133858270000001</v>
      </c>
      <c r="F195" s="227">
        <v>37.992125979999997</v>
      </c>
      <c r="G195" s="227">
        <v>7.2834645670000002</v>
      </c>
      <c r="H195" s="227">
        <v>3.9370078739999999</v>
      </c>
      <c r="I195" s="227">
        <v>57.677165350000003</v>
      </c>
      <c r="J195" s="227">
        <v>8.8582677170000004</v>
      </c>
      <c r="K195" s="227">
        <v>7.2834645670000002</v>
      </c>
      <c r="L195" s="227">
        <v>12.992125980000001</v>
      </c>
      <c r="M195" s="227">
        <v>13.18897638</v>
      </c>
    </row>
    <row r="196" spans="2:13" x14ac:dyDescent="0.2">
      <c r="B196" s="226" t="s">
        <v>339</v>
      </c>
      <c r="C196" s="121">
        <v>1568</v>
      </c>
      <c r="D196" s="227">
        <v>21.811224490000001</v>
      </c>
      <c r="E196" s="227">
        <v>30.548469390000001</v>
      </c>
      <c r="F196" s="227">
        <v>35.58673469</v>
      </c>
      <c r="G196" s="227">
        <v>8.2908163269999999</v>
      </c>
      <c r="H196" s="227">
        <v>3.7627551019999999</v>
      </c>
      <c r="I196" s="227">
        <v>54.272959180000001</v>
      </c>
      <c r="J196" s="227">
        <v>9.1198979589999993</v>
      </c>
      <c r="K196" s="227">
        <v>9.5025510200000003</v>
      </c>
      <c r="L196" s="227">
        <v>15.242346939999999</v>
      </c>
      <c r="M196" s="227">
        <v>11.8622449</v>
      </c>
    </row>
    <row r="197" spans="2:13" x14ac:dyDescent="0.2">
      <c r="B197" s="226" t="s">
        <v>340</v>
      </c>
      <c r="C197" s="121">
        <v>7381</v>
      </c>
      <c r="D197" s="227">
        <v>18.04633518</v>
      </c>
      <c r="E197" s="227">
        <v>29.968838909999999</v>
      </c>
      <c r="F197" s="227">
        <v>40.170708580000003</v>
      </c>
      <c r="G197" s="227">
        <v>9.0367158920000001</v>
      </c>
      <c r="H197" s="227">
        <v>2.7774014359999999</v>
      </c>
      <c r="I197" s="227">
        <v>61.71250508</v>
      </c>
      <c r="J197" s="227">
        <v>9.6192927790000002</v>
      </c>
      <c r="K197" s="227">
        <v>9.0096192930000001</v>
      </c>
      <c r="L197" s="227">
        <v>10.54057716</v>
      </c>
      <c r="M197" s="227">
        <v>9.1180056900000004</v>
      </c>
    </row>
    <row r="198" spans="2:13" x14ac:dyDescent="0.2">
      <c r="B198" s="226" t="s">
        <v>341</v>
      </c>
      <c r="C198" s="121">
        <v>664</v>
      </c>
      <c r="D198" s="227">
        <v>19.578313250000001</v>
      </c>
      <c r="E198" s="227">
        <v>31.02409639</v>
      </c>
      <c r="F198" s="227">
        <v>35.993975900000002</v>
      </c>
      <c r="G198" s="227">
        <v>9.6385542169999994</v>
      </c>
      <c r="H198" s="227">
        <v>3.765060241</v>
      </c>
      <c r="I198" s="227">
        <v>56.174698800000002</v>
      </c>
      <c r="J198" s="227">
        <v>8.1325301200000002</v>
      </c>
      <c r="K198" s="227">
        <v>8.4337349400000008</v>
      </c>
      <c r="L198" s="227">
        <v>14.457831329999999</v>
      </c>
      <c r="M198" s="227">
        <v>12.801204820000001</v>
      </c>
    </row>
    <row r="199" spans="2:13" x14ac:dyDescent="0.2">
      <c r="B199" s="226" t="s">
        <v>342</v>
      </c>
      <c r="C199" s="121">
        <v>4787</v>
      </c>
      <c r="D199" s="227">
        <v>19.36494673</v>
      </c>
      <c r="E199" s="227">
        <v>26.968874029999998</v>
      </c>
      <c r="F199" s="227">
        <v>39.878838520000002</v>
      </c>
      <c r="G199" s="227">
        <v>10.11071652</v>
      </c>
      <c r="H199" s="227">
        <v>3.6766241910000002</v>
      </c>
      <c r="I199" s="227">
        <v>55.608940879999999</v>
      </c>
      <c r="J199" s="227">
        <v>9.1288907459999997</v>
      </c>
      <c r="K199" s="227">
        <v>9.7346981410000009</v>
      </c>
      <c r="L199" s="227">
        <v>13.22331314</v>
      </c>
      <c r="M199" s="227">
        <v>12.30415709</v>
      </c>
    </row>
    <row r="200" spans="2:13" x14ac:dyDescent="0.2">
      <c r="B200" s="226" t="s">
        <v>343</v>
      </c>
      <c r="C200" s="121">
        <v>2043</v>
      </c>
      <c r="D200" s="227">
        <v>16.740088109999999</v>
      </c>
      <c r="E200" s="227">
        <v>30.885952029999999</v>
      </c>
      <c r="F200" s="227">
        <v>41.458639259999998</v>
      </c>
      <c r="G200" s="227">
        <v>8.3210964270000005</v>
      </c>
      <c r="H200" s="227">
        <v>2.5942241799999999</v>
      </c>
      <c r="I200" s="227">
        <v>55.849241309999996</v>
      </c>
      <c r="J200" s="227">
        <v>9.3489965739999992</v>
      </c>
      <c r="K200" s="227">
        <v>8.5168869310000002</v>
      </c>
      <c r="L200" s="227">
        <v>14.684287810000001</v>
      </c>
      <c r="M200" s="227">
        <v>11.60058737</v>
      </c>
    </row>
    <row r="201" spans="2:13" x14ac:dyDescent="0.2">
      <c r="B201" s="226" t="s">
        <v>344</v>
      </c>
      <c r="C201" s="121">
        <v>610</v>
      </c>
      <c r="D201" s="227">
        <v>18.524590159999999</v>
      </c>
      <c r="E201" s="227">
        <v>28.852459020000001</v>
      </c>
      <c r="F201" s="227">
        <v>41.967213110000003</v>
      </c>
      <c r="G201" s="227">
        <v>7.7049180330000002</v>
      </c>
      <c r="H201" s="227">
        <v>2.9508196720000002</v>
      </c>
      <c r="I201" s="227">
        <v>50.983606559999998</v>
      </c>
      <c r="J201" s="227">
        <v>10.98360656</v>
      </c>
      <c r="K201" s="227">
        <v>11.63934426</v>
      </c>
      <c r="L201" s="227">
        <v>13.278688519999999</v>
      </c>
      <c r="M201" s="227">
        <v>13.114754100000001</v>
      </c>
    </row>
    <row r="202" spans="2:13" x14ac:dyDescent="0.2">
      <c r="B202" s="226" t="s">
        <v>345</v>
      </c>
      <c r="C202" s="121">
        <v>2583</v>
      </c>
      <c r="D202" s="227">
        <v>19.163763070000002</v>
      </c>
      <c r="E202" s="227">
        <v>30.623306230000001</v>
      </c>
      <c r="F202" s="227">
        <v>39.024390240000002</v>
      </c>
      <c r="G202" s="227">
        <v>8.5946573750000006</v>
      </c>
      <c r="H202" s="227">
        <v>2.5938830820000001</v>
      </c>
      <c r="I202" s="227">
        <v>55.400696859999996</v>
      </c>
      <c r="J202" s="227">
        <v>9.7173828879999995</v>
      </c>
      <c r="K202" s="227">
        <v>9.7173828879999995</v>
      </c>
      <c r="L202" s="227">
        <v>14.28571429</v>
      </c>
      <c r="M202" s="227">
        <v>10.878823069999999</v>
      </c>
    </row>
    <row r="203" spans="2:13" x14ac:dyDescent="0.2">
      <c r="B203" s="226" t="s">
        <v>346</v>
      </c>
      <c r="C203" s="121">
        <v>777</v>
      </c>
      <c r="D203" s="227">
        <v>19.305019309999999</v>
      </c>
      <c r="E203" s="227">
        <v>27.284427279999999</v>
      </c>
      <c r="F203" s="227">
        <v>40.411840410000003</v>
      </c>
      <c r="G203" s="227">
        <v>10.296010300000001</v>
      </c>
      <c r="H203" s="227">
        <v>2.7027027029999999</v>
      </c>
      <c r="I203" s="227">
        <v>52.252252249999998</v>
      </c>
      <c r="J203" s="227">
        <v>9.137709138</v>
      </c>
      <c r="K203" s="227">
        <v>10.42471042</v>
      </c>
      <c r="L203" s="227">
        <v>16.988416990000001</v>
      </c>
      <c r="M203" s="227">
        <v>11.196911200000001</v>
      </c>
    </row>
    <row r="204" spans="2:13" x14ac:dyDescent="0.2">
      <c r="B204" s="226" t="s">
        <v>347</v>
      </c>
      <c r="C204" s="121">
        <v>1075</v>
      </c>
      <c r="D204" s="227">
        <v>19.813953489999999</v>
      </c>
      <c r="E204" s="227">
        <v>26.883720929999999</v>
      </c>
      <c r="F204" s="227">
        <v>41.488372089999999</v>
      </c>
      <c r="G204" s="227">
        <v>8.8372093019999998</v>
      </c>
      <c r="H204" s="227">
        <v>2.9767441859999999</v>
      </c>
      <c r="I204" s="227">
        <v>48.837209299999998</v>
      </c>
      <c r="J204" s="227">
        <v>9.3023255809999998</v>
      </c>
      <c r="K204" s="227">
        <v>11.44186047</v>
      </c>
      <c r="L204" s="227">
        <v>16.27906977</v>
      </c>
      <c r="M204" s="227">
        <v>14.139534879999999</v>
      </c>
    </row>
    <row r="205" spans="2:13" x14ac:dyDescent="0.2">
      <c r="B205" s="226" t="s">
        <v>348</v>
      </c>
      <c r="C205" s="121">
        <v>95</v>
      </c>
      <c r="D205" s="227">
        <v>22.10526316</v>
      </c>
      <c r="E205" s="227">
        <v>23.15789474</v>
      </c>
      <c r="F205" s="227">
        <v>42.10526316</v>
      </c>
      <c r="G205" s="227">
        <v>12.631578899999999</v>
      </c>
      <c r="H205" s="262" t="s">
        <v>663</v>
      </c>
      <c r="I205" s="227">
        <v>50.526315789999998</v>
      </c>
      <c r="J205" s="227">
        <v>11.57894737</v>
      </c>
      <c r="K205" s="227">
        <v>7.3684210529999996</v>
      </c>
      <c r="L205" s="227">
        <v>18.94736842</v>
      </c>
      <c r="M205" s="227">
        <v>11.57894737</v>
      </c>
    </row>
    <row r="206" spans="2:13" x14ac:dyDescent="0.2">
      <c r="B206" s="226" t="s">
        <v>349</v>
      </c>
      <c r="C206" s="121">
        <v>7035</v>
      </c>
      <c r="D206" s="227">
        <v>17.882018479999999</v>
      </c>
      <c r="E206" s="227">
        <v>28.358208959999999</v>
      </c>
      <c r="F206" s="227">
        <v>38.877043350000001</v>
      </c>
      <c r="G206" s="227">
        <v>9.8365316279999995</v>
      </c>
      <c r="H206" s="227">
        <v>5.0461975839999997</v>
      </c>
      <c r="I206" s="227">
        <v>53.262260130000001</v>
      </c>
      <c r="J206" s="227">
        <v>10.66098081</v>
      </c>
      <c r="K206" s="227">
        <v>10.135039089999999</v>
      </c>
      <c r="L206" s="227">
        <v>11.98294243</v>
      </c>
      <c r="M206" s="227">
        <v>13.95877754</v>
      </c>
    </row>
    <row r="207" spans="2:13" s="7" customFormat="1" x14ac:dyDescent="0.2">
      <c r="B207" s="228" t="s">
        <v>350</v>
      </c>
      <c r="C207" s="223">
        <v>17826</v>
      </c>
      <c r="D207" s="224">
        <v>19.79692584</v>
      </c>
      <c r="E207" s="224">
        <v>26.220127900000001</v>
      </c>
      <c r="F207" s="224">
        <v>38.926287449999997</v>
      </c>
      <c r="G207" s="224">
        <v>10.80444295</v>
      </c>
      <c r="H207" s="224">
        <v>4.2522158640000001</v>
      </c>
      <c r="I207" s="224">
        <v>52.692696060000003</v>
      </c>
      <c r="J207" s="224">
        <v>8.661505666</v>
      </c>
      <c r="K207" s="224">
        <v>9.6544373389999993</v>
      </c>
      <c r="L207" s="224">
        <v>14.041288010000001</v>
      </c>
      <c r="M207" s="224">
        <v>14.950072929999999</v>
      </c>
    </row>
    <row r="208" spans="2:13" x14ac:dyDescent="0.2">
      <c r="B208" s="226" t="s">
        <v>351</v>
      </c>
      <c r="C208" s="121">
        <v>2287</v>
      </c>
      <c r="D208" s="227">
        <v>20.376038479999998</v>
      </c>
      <c r="E208" s="227">
        <v>28.50896371</v>
      </c>
      <c r="F208" s="227">
        <v>37.953651069999999</v>
      </c>
      <c r="G208" s="227">
        <v>9.7944905989999995</v>
      </c>
      <c r="H208" s="227">
        <v>3.3668561430000001</v>
      </c>
      <c r="I208" s="227">
        <v>52.995190209999997</v>
      </c>
      <c r="J208" s="227">
        <v>8.4390030609999993</v>
      </c>
      <c r="K208" s="227">
        <v>9.2697857460000002</v>
      </c>
      <c r="L208" s="227">
        <v>14.56055969</v>
      </c>
      <c r="M208" s="227">
        <v>14.735461300000001</v>
      </c>
    </row>
    <row r="209" spans="2:13" s="205" customFormat="1" x14ac:dyDescent="0.2">
      <c r="B209" s="229" t="s">
        <v>352</v>
      </c>
      <c r="C209" s="121">
        <v>157</v>
      </c>
      <c r="D209" s="227">
        <v>22.292993630000002</v>
      </c>
      <c r="E209" s="227">
        <v>25.47770701</v>
      </c>
      <c r="F209" s="227">
        <v>33.121019109999999</v>
      </c>
      <c r="G209" s="227">
        <v>14.649681530000001</v>
      </c>
      <c r="H209" s="227">
        <v>4.458598726</v>
      </c>
      <c r="I209" s="227">
        <v>56.687898089999997</v>
      </c>
      <c r="J209" s="227">
        <v>9.5541401270000001</v>
      </c>
      <c r="K209" s="227">
        <v>6.3694267519999999</v>
      </c>
      <c r="L209" s="227">
        <v>16.560509549999999</v>
      </c>
      <c r="M209" s="227">
        <v>10.828025480000001</v>
      </c>
    </row>
    <row r="210" spans="2:13" x14ac:dyDescent="0.2">
      <c r="B210" s="226" t="s">
        <v>353</v>
      </c>
      <c r="C210" s="121">
        <v>91</v>
      </c>
      <c r="D210" s="227">
        <v>23.07692308</v>
      </c>
      <c r="E210" s="227">
        <v>24.175824179999999</v>
      </c>
      <c r="F210" s="227">
        <v>39.560439559999999</v>
      </c>
      <c r="G210" s="227">
        <v>13.1868132</v>
      </c>
      <c r="H210" s="262" t="s">
        <v>663</v>
      </c>
      <c r="I210" s="227">
        <v>46.15384615</v>
      </c>
      <c r="J210" s="227">
        <v>5.4945054950000003</v>
      </c>
      <c r="K210" s="227">
        <v>8.7912087910000007</v>
      </c>
      <c r="L210" s="227">
        <v>16.483516479999999</v>
      </c>
      <c r="M210" s="227">
        <v>23.07692308</v>
      </c>
    </row>
    <row r="211" spans="2:13" x14ac:dyDescent="0.2">
      <c r="B211" s="226" t="s">
        <v>354</v>
      </c>
      <c r="C211" s="121">
        <v>2025</v>
      </c>
      <c r="D211" s="227">
        <v>19.456790120000001</v>
      </c>
      <c r="E211" s="227">
        <v>28.493827159999999</v>
      </c>
      <c r="F211" s="227">
        <v>38.913580250000003</v>
      </c>
      <c r="G211" s="227">
        <v>9.9753086419999999</v>
      </c>
      <c r="H211" s="227">
        <v>3.1604938269999998</v>
      </c>
      <c r="I211" s="227">
        <v>55.654320990000002</v>
      </c>
      <c r="J211" s="227">
        <v>8.1975308640000009</v>
      </c>
      <c r="K211" s="227">
        <v>10.02469136</v>
      </c>
      <c r="L211" s="227">
        <v>12.9382716</v>
      </c>
      <c r="M211" s="227">
        <v>13.18518519</v>
      </c>
    </row>
    <row r="212" spans="2:13" x14ac:dyDescent="0.2">
      <c r="B212" s="229" t="s">
        <v>355</v>
      </c>
      <c r="C212" s="121">
        <v>2075</v>
      </c>
      <c r="D212" s="227">
        <v>20.433734940000001</v>
      </c>
      <c r="E212" s="227">
        <v>26.698795180000001</v>
      </c>
      <c r="F212" s="227">
        <v>39.469879519999999</v>
      </c>
      <c r="G212" s="227">
        <v>8.9156626509999999</v>
      </c>
      <c r="H212" s="227">
        <v>4.481927711</v>
      </c>
      <c r="I212" s="227">
        <v>57.927710840000003</v>
      </c>
      <c r="J212" s="227">
        <v>8.1445783130000002</v>
      </c>
      <c r="K212" s="227">
        <v>8.7228915659999995</v>
      </c>
      <c r="L212" s="227">
        <v>10.843373489999999</v>
      </c>
      <c r="M212" s="227">
        <v>14.36144578</v>
      </c>
    </row>
    <row r="213" spans="2:13" x14ac:dyDescent="0.2">
      <c r="B213" s="226" t="s">
        <v>356</v>
      </c>
      <c r="C213" s="121">
        <v>1277</v>
      </c>
      <c r="D213" s="227">
        <v>19.73375098</v>
      </c>
      <c r="E213" s="227">
        <v>21.22161316</v>
      </c>
      <c r="F213" s="227">
        <v>40.172278779999999</v>
      </c>
      <c r="G213" s="227">
        <v>12.05951449</v>
      </c>
      <c r="H213" s="227">
        <v>6.8128425999999997</v>
      </c>
      <c r="I213" s="227">
        <v>48.081440880000002</v>
      </c>
      <c r="J213" s="227">
        <v>9.9451840249999997</v>
      </c>
      <c r="K213" s="227">
        <v>8.4573218479999994</v>
      </c>
      <c r="L213" s="227">
        <v>15.42678152</v>
      </c>
      <c r="M213" s="227">
        <v>18.08927173</v>
      </c>
    </row>
    <row r="214" spans="2:13" x14ac:dyDescent="0.2">
      <c r="B214" s="226" t="s">
        <v>357</v>
      </c>
      <c r="C214" s="121">
        <v>209</v>
      </c>
      <c r="D214" s="227">
        <v>15.78947368</v>
      </c>
      <c r="E214" s="227">
        <v>23.923444979999999</v>
      </c>
      <c r="F214" s="227">
        <v>45.454545449999998</v>
      </c>
      <c r="G214" s="227">
        <v>10.52631579</v>
      </c>
      <c r="H214" s="227">
        <v>4.3062200959999997</v>
      </c>
      <c r="I214" s="227">
        <v>56.937799040000002</v>
      </c>
      <c r="J214" s="227">
        <v>7.1770334929999997</v>
      </c>
      <c r="K214" s="227">
        <v>10.52631579</v>
      </c>
      <c r="L214" s="227">
        <v>12.440191390000001</v>
      </c>
      <c r="M214" s="227">
        <v>12.91866029</v>
      </c>
    </row>
    <row r="215" spans="2:13" x14ac:dyDescent="0.2">
      <c r="B215" s="226" t="s">
        <v>358</v>
      </c>
      <c r="C215" s="121">
        <v>459</v>
      </c>
      <c r="D215" s="227">
        <v>19.82570806</v>
      </c>
      <c r="E215" s="227">
        <v>28.322440090000001</v>
      </c>
      <c r="F215" s="227">
        <v>35.294117649999997</v>
      </c>
      <c r="G215" s="227">
        <v>13.28976035</v>
      </c>
      <c r="H215" s="227">
        <v>3.2679738559999998</v>
      </c>
      <c r="I215" s="227">
        <v>42.047930280000003</v>
      </c>
      <c r="J215" s="227">
        <v>11.98257081</v>
      </c>
      <c r="K215" s="227">
        <v>12.200435730000001</v>
      </c>
      <c r="L215" s="227">
        <v>18.954248369999998</v>
      </c>
      <c r="M215" s="227">
        <v>14.81481481</v>
      </c>
    </row>
    <row r="216" spans="2:13" x14ac:dyDescent="0.2">
      <c r="B216" s="226" t="s">
        <v>359</v>
      </c>
      <c r="C216" s="121">
        <v>223</v>
      </c>
      <c r="D216" s="227">
        <v>18.834080719999999</v>
      </c>
      <c r="E216" s="227">
        <v>27.35426009</v>
      </c>
      <c r="F216" s="227">
        <v>39.013452909999998</v>
      </c>
      <c r="G216" s="227">
        <v>9.8654708519999996</v>
      </c>
      <c r="H216" s="227">
        <v>4.9327354259999998</v>
      </c>
      <c r="I216" s="227">
        <v>53.81165919</v>
      </c>
      <c r="J216" s="227">
        <v>6.7264573990000001</v>
      </c>
      <c r="K216" s="227">
        <v>11.65919283</v>
      </c>
      <c r="L216" s="227">
        <v>13.90134529</v>
      </c>
      <c r="M216" s="227">
        <v>13.90134529</v>
      </c>
    </row>
    <row r="217" spans="2:13" x14ac:dyDescent="0.2">
      <c r="B217" s="226" t="s">
        <v>360</v>
      </c>
      <c r="C217" s="121">
        <v>1873</v>
      </c>
      <c r="D217" s="227">
        <v>20.128136680000001</v>
      </c>
      <c r="E217" s="227">
        <v>26.69514148</v>
      </c>
      <c r="F217" s="227">
        <v>37.800320339999999</v>
      </c>
      <c r="G217" s="227">
        <v>10.41110518</v>
      </c>
      <c r="H217" s="227">
        <v>4.9652963159999999</v>
      </c>
      <c r="I217" s="227">
        <v>53.977576079999999</v>
      </c>
      <c r="J217" s="227">
        <v>7.8483715959999998</v>
      </c>
      <c r="K217" s="227">
        <v>9.9305926319999998</v>
      </c>
      <c r="L217" s="227">
        <v>13.61452216</v>
      </c>
      <c r="M217" s="227">
        <v>14.62893753</v>
      </c>
    </row>
    <row r="218" spans="2:13" x14ac:dyDescent="0.2">
      <c r="B218" s="226" t="s">
        <v>361</v>
      </c>
      <c r="C218" s="121">
        <v>852</v>
      </c>
      <c r="D218" s="227">
        <v>21.596244129999999</v>
      </c>
      <c r="E218" s="227">
        <v>28.16901408</v>
      </c>
      <c r="F218" s="227">
        <v>40.610328639999999</v>
      </c>
      <c r="G218" s="227">
        <v>7.8638497650000003</v>
      </c>
      <c r="H218" s="227">
        <v>1.76056338</v>
      </c>
      <c r="I218" s="227">
        <v>59.741784039999999</v>
      </c>
      <c r="J218" s="227">
        <v>10.3286385</v>
      </c>
      <c r="K218" s="227">
        <v>9.3896713619999996</v>
      </c>
      <c r="L218" s="227">
        <v>12.910798120000001</v>
      </c>
      <c r="M218" s="227">
        <v>7.6291079809999998</v>
      </c>
    </row>
    <row r="219" spans="2:13" x14ac:dyDescent="0.2">
      <c r="B219" s="226" t="s">
        <v>362</v>
      </c>
      <c r="C219" s="121">
        <v>687</v>
      </c>
      <c r="D219" s="227">
        <v>19.213973800000002</v>
      </c>
      <c r="E219" s="227">
        <v>25.18195051</v>
      </c>
      <c r="F219" s="227">
        <v>40.756914119999998</v>
      </c>
      <c r="G219" s="227">
        <v>11.64483261</v>
      </c>
      <c r="H219" s="227">
        <v>3.2023289670000001</v>
      </c>
      <c r="I219" s="227">
        <v>45.560407570000002</v>
      </c>
      <c r="J219" s="227">
        <v>9.7525473070000004</v>
      </c>
      <c r="K219" s="227">
        <v>9.4614264919999993</v>
      </c>
      <c r="L219" s="227">
        <v>17.176128089999999</v>
      </c>
      <c r="M219" s="227">
        <v>18.049490540000001</v>
      </c>
    </row>
    <row r="220" spans="2:13" x14ac:dyDescent="0.2">
      <c r="B220" s="226" t="s">
        <v>524</v>
      </c>
      <c r="C220" s="121">
        <v>1387</v>
      </c>
      <c r="D220" s="227">
        <v>18.601297760000001</v>
      </c>
      <c r="E220" s="227">
        <v>22.63878875</v>
      </c>
      <c r="F220" s="227">
        <v>37.490987740000001</v>
      </c>
      <c r="G220" s="227">
        <v>14.70800288</v>
      </c>
      <c r="H220" s="227">
        <v>6.5609228550000003</v>
      </c>
      <c r="I220" s="227">
        <v>51.766402309999997</v>
      </c>
      <c r="J220" s="227">
        <v>7.2098053350000004</v>
      </c>
      <c r="K220" s="227">
        <v>10.02162942</v>
      </c>
      <c r="L220" s="227">
        <v>13.19394376</v>
      </c>
      <c r="M220" s="227">
        <v>17.808219179999998</v>
      </c>
    </row>
    <row r="221" spans="2:13" x14ac:dyDescent="0.2">
      <c r="B221" s="226" t="s">
        <v>363</v>
      </c>
      <c r="C221" s="121">
        <v>1183</v>
      </c>
      <c r="D221" s="227">
        <v>20.54099746</v>
      </c>
      <c r="E221" s="227">
        <v>28.402366860000001</v>
      </c>
      <c r="F221" s="227">
        <v>37.700760780000003</v>
      </c>
      <c r="G221" s="227">
        <v>10.56635672</v>
      </c>
      <c r="H221" s="227">
        <v>2.7895181739999999</v>
      </c>
      <c r="I221" s="227">
        <v>48.098055789999997</v>
      </c>
      <c r="J221" s="227">
        <v>8.4530853760000007</v>
      </c>
      <c r="K221" s="227">
        <v>11.665257820000001</v>
      </c>
      <c r="L221" s="227">
        <v>16.56804734</v>
      </c>
      <c r="M221" s="227">
        <v>15.215553679999999</v>
      </c>
    </row>
    <row r="222" spans="2:13" x14ac:dyDescent="0.2">
      <c r="B222" s="226" t="s">
        <v>364</v>
      </c>
      <c r="C222" s="121">
        <v>126</v>
      </c>
      <c r="D222" s="227">
        <v>19.047619050000002</v>
      </c>
      <c r="E222" s="227">
        <v>25.396825400000001</v>
      </c>
      <c r="F222" s="227">
        <v>40.47619048</v>
      </c>
      <c r="G222" s="227">
        <v>11.11111111</v>
      </c>
      <c r="H222" s="227">
        <v>3.968253968</v>
      </c>
      <c r="I222" s="227">
        <v>41.269841270000001</v>
      </c>
      <c r="J222" s="227">
        <v>7.936507937</v>
      </c>
      <c r="K222" s="227">
        <v>12.6984127</v>
      </c>
      <c r="L222" s="227">
        <v>19.047619050000002</v>
      </c>
      <c r="M222" s="227">
        <v>19.047619050000002</v>
      </c>
    </row>
    <row r="223" spans="2:13" x14ac:dyDescent="0.2">
      <c r="B223" s="226" t="s">
        <v>525</v>
      </c>
      <c r="C223" s="121">
        <v>518</v>
      </c>
      <c r="D223" s="227">
        <v>21.235521240000001</v>
      </c>
      <c r="E223" s="227">
        <v>28.571428569999998</v>
      </c>
      <c r="F223" s="227">
        <v>38.803088799999998</v>
      </c>
      <c r="G223" s="227">
        <v>8.8803088799999994</v>
      </c>
      <c r="H223" s="227">
        <v>2.50965251</v>
      </c>
      <c r="I223" s="227">
        <v>61.389961390000003</v>
      </c>
      <c r="J223" s="227">
        <v>9.2664092660000001</v>
      </c>
      <c r="K223" s="227">
        <v>8.6872586869999999</v>
      </c>
      <c r="L223" s="227">
        <v>12.162162159999999</v>
      </c>
      <c r="M223" s="227">
        <v>8.4942084940000004</v>
      </c>
    </row>
    <row r="224" spans="2:13" x14ac:dyDescent="0.2">
      <c r="B224" s="226" t="s">
        <v>365</v>
      </c>
      <c r="C224" s="121">
        <v>371</v>
      </c>
      <c r="D224" s="227">
        <v>24.258760110000001</v>
      </c>
      <c r="E224" s="227">
        <v>21.832884100000001</v>
      </c>
      <c r="F224" s="227">
        <v>40.700808629999997</v>
      </c>
      <c r="G224" s="227">
        <v>9.7035040430000006</v>
      </c>
      <c r="H224" s="227">
        <v>3.5040431270000001</v>
      </c>
      <c r="I224" s="227">
        <v>61.72506739</v>
      </c>
      <c r="J224" s="227">
        <v>7.0080862530000001</v>
      </c>
      <c r="K224" s="227">
        <v>9.4339622639999998</v>
      </c>
      <c r="L224" s="227">
        <v>10.78167116</v>
      </c>
      <c r="M224" s="227">
        <v>11.051212939999999</v>
      </c>
    </row>
    <row r="225" spans="2:13" x14ac:dyDescent="0.2">
      <c r="B225" s="226" t="s">
        <v>366</v>
      </c>
      <c r="C225" s="121">
        <v>131</v>
      </c>
      <c r="D225" s="227">
        <v>20.61068702</v>
      </c>
      <c r="E225" s="227">
        <v>26.717557249999999</v>
      </c>
      <c r="F225" s="227">
        <v>43.511450379999999</v>
      </c>
      <c r="G225" s="227">
        <v>9.1603053400000007</v>
      </c>
      <c r="H225" s="262" t="s">
        <v>663</v>
      </c>
      <c r="I225" s="227">
        <v>60.30534351</v>
      </c>
      <c r="J225" s="227">
        <v>10.687022900000001</v>
      </c>
      <c r="K225" s="227">
        <v>3.8167938929999998</v>
      </c>
      <c r="L225" s="227">
        <v>12.21374046</v>
      </c>
      <c r="M225" s="227">
        <v>12.977099239999999</v>
      </c>
    </row>
    <row r="226" spans="2:13" x14ac:dyDescent="0.2">
      <c r="B226" s="226" t="s">
        <v>367</v>
      </c>
      <c r="C226" s="121">
        <v>753</v>
      </c>
      <c r="D226" s="227">
        <v>16.467463479999999</v>
      </c>
      <c r="E226" s="227">
        <v>23.107569720000001</v>
      </c>
      <c r="F226" s="227">
        <v>39.5750332</v>
      </c>
      <c r="G226" s="227">
        <v>13.54581673</v>
      </c>
      <c r="H226" s="227">
        <v>7.3041168660000002</v>
      </c>
      <c r="I226" s="227">
        <v>40.637450200000004</v>
      </c>
      <c r="J226" s="227">
        <v>9.2961487379999994</v>
      </c>
      <c r="K226" s="227">
        <v>10.62416999</v>
      </c>
      <c r="L226" s="227">
        <v>17.795484729999998</v>
      </c>
      <c r="M226" s="227">
        <v>21.646746350000001</v>
      </c>
    </row>
    <row r="227" spans="2:13" x14ac:dyDescent="0.2">
      <c r="B227" s="226" t="s">
        <v>368</v>
      </c>
      <c r="C227" s="121">
        <v>350</v>
      </c>
      <c r="D227" s="227">
        <v>18.571428569999998</v>
      </c>
      <c r="E227" s="227">
        <v>23.714285709999999</v>
      </c>
      <c r="F227" s="227">
        <v>40.285714290000001</v>
      </c>
      <c r="G227" s="227">
        <v>13.14285714</v>
      </c>
      <c r="H227" s="227">
        <v>4.2857142860000002</v>
      </c>
      <c r="I227" s="227">
        <v>56.285714290000001</v>
      </c>
      <c r="J227" s="227">
        <v>8.5714285710000002</v>
      </c>
      <c r="K227" s="227">
        <v>8.8571428569999995</v>
      </c>
      <c r="L227" s="227">
        <v>12</v>
      </c>
      <c r="M227" s="227">
        <v>14.28571429</v>
      </c>
    </row>
    <row r="228" spans="2:13" x14ac:dyDescent="0.2">
      <c r="B228" s="226" t="s">
        <v>369</v>
      </c>
      <c r="C228" s="121">
        <v>605</v>
      </c>
      <c r="D228" s="227">
        <v>16.033057849999999</v>
      </c>
      <c r="E228" s="227">
        <v>24.628099169999999</v>
      </c>
      <c r="F228" s="227">
        <v>41.322314050000003</v>
      </c>
      <c r="G228" s="227">
        <v>13.2231405</v>
      </c>
      <c r="H228" s="227">
        <v>4.7933884300000003</v>
      </c>
      <c r="I228" s="227">
        <v>47.272727269999997</v>
      </c>
      <c r="J228" s="227">
        <v>10.082644630000001</v>
      </c>
      <c r="K228" s="227">
        <v>8.5950413220000002</v>
      </c>
      <c r="L228" s="227">
        <v>14.710743799999999</v>
      </c>
      <c r="M228" s="227">
        <v>19.338842979999999</v>
      </c>
    </row>
    <row r="229" spans="2:13" x14ac:dyDescent="0.2">
      <c r="B229" s="226" t="s">
        <v>370</v>
      </c>
      <c r="C229" s="121">
        <v>187</v>
      </c>
      <c r="D229" s="227">
        <v>21.39037433</v>
      </c>
      <c r="E229" s="227">
        <v>27.80748663</v>
      </c>
      <c r="F229" s="227">
        <v>37.433155079999999</v>
      </c>
      <c r="G229" s="227">
        <v>10.16042781</v>
      </c>
      <c r="H229" s="227">
        <v>3.2085561500000002</v>
      </c>
      <c r="I229" s="227">
        <v>47.058823529999998</v>
      </c>
      <c r="J229" s="227">
        <v>12.29946524</v>
      </c>
      <c r="K229" s="227">
        <v>12.29946524</v>
      </c>
      <c r="L229" s="227">
        <v>16.577540110000001</v>
      </c>
      <c r="M229" s="227">
        <v>11.764705879999999</v>
      </c>
    </row>
    <row r="230" spans="2:13" x14ac:dyDescent="0.2">
      <c r="B230" s="165"/>
      <c r="C230" s="148"/>
      <c r="D230" s="147"/>
      <c r="E230" s="147"/>
      <c r="F230" s="147"/>
      <c r="G230" s="147"/>
      <c r="H230" s="147"/>
      <c r="I230" s="147"/>
      <c r="J230" s="147"/>
      <c r="K230" s="147"/>
      <c r="L230" s="147"/>
      <c r="M230" s="147"/>
    </row>
    <row r="231" spans="2:13" x14ac:dyDescent="0.2">
      <c r="B231" s="165"/>
      <c r="C231" s="148"/>
      <c r="D231" s="147"/>
      <c r="E231" s="147"/>
      <c r="F231" s="147"/>
      <c r="G231" s="147"/>
      <c r="H231" s="147"/>
      <c r="I231" s="147"/>
      <c r="J231" s="147"/>
      <c r="K231" s="147"/>
      <c r="L231" s="147"/>
      <c r="M231" s="147"/>
    </row>
    <row r="232" spans="2:13" ht="30" customHeight="1" x14ac:dyDescent="0.2">
      <c r="B232" s="361" t="s">
        <v>670</v>
      </c>
      <c r="C232" s="361"/>
      <c r="D232" s="361"/>
      <c r="E232" s="361"/>
      <c r="F232" s="361"/>
      <c r="G232" s="361"/>
      <c r="H232" s="361"/>
      <c r="I232" s="361"/>
      <c r="J232" s="361"/>
      <c r="K232" s="361"/>
      <c r="L232" s="361"/>
      <c r="M232" s="361"/>
    </row>
    <row r="233" spans="2:13" ht="44.25" customHeight="1" x14ac:dyDescent="0.2">
      <c r="B233" s="354" t="s">
        <v>671</v>
      </c>
      <c r="C233" s="354"/>
      <c r="D233" s="354"/>
      <c r="E233" s="354"/>
      <c r="F233" s="354"/>
      <c r="G233" s="354"/>
      <c r="H233" s="354"/>
      <c r="I233" s="354"/>
      <c r="J233" s="354"/>
      <c r="K233" s="354"/>
      <c r="L233" s="354"/>
      <c r="M233" s="354"/>
    </row>
    <row r="234" spans="2:13" x14ac:dyDescent="0.2">
      <c r="B234" s="355"/>
      <c r="C234" s="355"/>
      <c r="D234" s="355"/>
      <c r="E234" s="338"/>
      <c r="F234" s="338"/>
      <c r="G234" s="338"/>
      <c r="H234" s="338"/>
      <c r="I234" s="338"/>
      <c r="J234" s="338"/>
      <c r="K234" s="338"/>
      <c r="L234" s="338"/>
      <c r="M234" s="338"/>
    </row>
    <row r="235" spans="2:13" x14ac:dyDescent="0.2">
      <c r="B235" s="362" t="s">
        <v>677</v>
      </c>
      <c r="C235" s="362"/>
      <c r="D235" s="362"/>
      <c r="E235" s="362"/>
      <c r="F235" s="362"/>
      <c r="G235" s="362"/>
      <c r="H235" s="362"/>
      <c r="I235" s="362"/>
      <c r="J235" s="362"/>
      <c r="K235" s="362"/>
      <c r="L235" s="362"/>
      <c r="M235" s="362"/>
    </row>
    <row r="236" spans="2:13" x14ac:dyDescent="0.2">
      <c r="B236" s="6"/>
      <c r="C236" s="6"/>
      <c r="D236" s="6"/>
      <c r="E236" s="112"/>
      <c r="F236" s="112"/>
      <c r="G236" s="112"/>
      <c r="H236" s="112"/>
      <c r="I236" s="112"/>
      <c r="J236" s="112"/>
      <c r="K236" s="112"/>
      <c r="L236" s="112"/>
      <c r="M236" s="112"/>
    </row>
    <row r="237" spans="2:13" x14ac:dyDescent="0.2">
      <c r="B237" s="6"/>
      <c r="C237" s="6"/>
      <c r="D237" s="6"/>
      <c r="E237" s="112"/>
      <c r="F237" s="112"/>
      <c r="G237" s="112"/>
      <c r="H237" s="112"/>
      <c r="I237" s="112"/>
      <c r="J237" s="112"/>
      <c r="K237" s="112"/>
      <c r="L237" s="112"/>
      <c r="M237" s="112"/>
    </row>
    <row r="238" spans="2:13" x14ac:dyDescent="0.2">
      <c r="B238" s="6"/>
      <c r="C238" s="6"/>
      <c r="D238" s="6"/>
      <c r="E238" s="112"/>
      <c r="F238" s="112"/>
      <c r="G238" s="112"/>
      <c r="H238" s="112"/>
      <c r="I238" s="112"/>
      <c r="J238" s="112"/>
      <c r="K238" s="112"/>
      <c r="L238" s="112"/>
      <c r="M238" s="112"/>
    </row>
    <row r="239" spans="2:13" x14ac:dyDescent="0.2">
      <c r="B239" s="6"/>
      <c r="C239" s="6"/>
      <c r="D239" s="6"/>
      <c r="E239" s="112"/>
      <c r="F239" s="112"/>
      <c r="G239" s="112"/>
      <c r="H239" s="112"/>
      <c r="I239" s="112"/>
      <c r="J239" s="112"/>
      <c r="K239" s="112"/>
      <c r="L239" s="112"/>
      <c r="M239" s="112"/>
    </row>
    <row r="240" spans="2:13" x14ac:dyDescent="0.2">
      <c r="B240" s="6"/>
      <c r="C240" s="6"/>
      <c r="D240" s="6"/>
      <c r="E240" s="112"/>
      <c r="F240" s="112"/>
      <c r="G240" s="112"/>
      <c r="H240" s="112"/>
      <c r="I240" s="112"/>
      <c r="J240" s="112"/>
      <c r="K240" s="112"/>
      <c r="L240" s="112"/>
      <c r="M240" s="112"/>
    </row>
  </sheetData>
  <mergeCells count="8">
    <mergeCell ref="B235:M235"/>
    <mergeCell ref="B234:M234"/>
    <mergeCell ref="D3:H3"/>
    <mergeCell ref="I3:M3"/>
    <mergeCell ref="C3:C4"/>
    <mergeCell ref="B3:B4"/>
    <mergeCell ref="B232:M232"/>
    <mergeCell ref="B233:M233"/>
  </mergeCells>
  <pageMargins left="0.78740157480314965" right="0.78740157480314965" top="0.98425196850393704" bottom="0.98425196850393704" header="0.51181102362204722" footer="0.51181102362204722"/>
  <pageSetup paperSize="9" scale="82" fitToHeight="0" orientation="landscape" r:id="rId1"/>
  <headerFooter alignWithMargins="0"/>
  <rowBreaks count="5" manualBreakCount="5">
    <brk id="43" max="12" man="1"/>
    <brk id="86" max="12" man="1"/>
    <brk id="130" max="12" man="1"/>
    <brk id="174" max="12" man="1"/>
    <brk id="218"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4040"/>
    <pageSetUpPr fitToPage="1"/>
  </sheetPr>
  <dimension ref="B1:W7"/>
  <sheetViews>
    <sheetView view="pageBreakPreview" zoomScaleNormal="100" zoomScaleSheetLayoutView="100" workbookViewId="0">
      <selection activeCell="B1" sqref="B1"/>
    </sheetView>
  </sheetViews>
  <sheetFormatPr baseColWidth="10" defaultRowHeight="12.75" x14ac:dyDescent="0.2"/>
  <cols>
    <col min="1" max="1" width="2" customWidth="1"/>
  </cols>
  <sheetData>
    <row r="1" spans="2:23" ht="15.75" x14ac:dyDescent="0.2">
      <c r="B1" s="196" t="str">
        <f>Inhaltsverzeichnis!B68&amp;" "&amp;Inhaltsverzeichnis!C68&amp;" "&amp;Inhaltsverzeichnis!E68</f>
        <v>Gemeindekarte:  Einfache Kantonssteuer der Pflichtigen mit Wohnsitz im Kanton Aargau nach Gemeinden, in Franken pro Steuerpflichtigen, 2014</v>
      </c>
      <c r="C1" s="196"/>
      <c r="D1" s="196"/>
      <c r="E1" s="196"/>
      <c r="F1" s="196"/>
      <c r="G1" s="196"/>
      <c r="H1" s="196"/>
      <c r="I1" s="196"/>
      <c r="J1" s="196"/>
      <c r="K1" s="196"/>
      <c r="L1" s="196"/>
      <c r="M1" s="196"/>
      <c r="N1" s="196"/>
      <c r="O1" s="196"/>
      <c r="P1" s="196"/>
      <c r="Q1" s="196"/>
      <c r="R1" s="196"/>
      <c r="S1" s="196"/>
      <c r="T1" s="196"/>
      <c r="U1" s="196"/>
      <c r="V1" s="196"/>
      <c r="W1" s="196"/>
    </row>
    <row r="2" spans="2:23" x14ac:dyDescent="0.2">
      <c r="B2" s="111"/>
    </row>
    <row r="4" spans="2:23" x14ac:dyDescent="0.2">
      <c r="B4" s="111"/>
    </row>
    <row r="7" spans="2:23" x14ac:dyDescent="0.2">
      <c r="M7" s="118"/>
    </row>
  </sheetData>
  <pageMargins left="0.7" right="0.7" top="0.78740157499999996" bottom="0.78740157499999996" header="0.3" footer="0.3"/>
  <pageSetup paperSize="9" scale="5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4040"/>
    <pageSetUpPr fitToPage="1"/>
  </sheetPr>
  <dimension ref="B1:W82"/>
  <sheetViews>
    <sheetView view="pageBreakPreview" zoomScaleNormal="100" zoomScaleSheetLayoutView="100" workbookViewId="0">
      <selection activeCell="B1" sqref="B1"/>
    </sheetView>
  </sheetViews>
  <sheetFormatPr baseColWidth="10" defaultRowHeight="12.75" x14ac:dyDescent="0.2"/>
  <cols>
    <col min="1" max="1" width="2" style="1" customWidth="1"/>
    <col min="2" max="2" width="111.140625" style="19" customWidth="1"/>
    <col min="3" max="16384" width="11.42578125" style="1"/>
  </cols>
  <sheetData>
    <row r="1" spans="2:23" s="6" customFormat="1" ht="15.75" x14ac:dyDescent="0.2">
      <c r="B1" s="186" t="str">
        <f>Inhaltsverzeichnis!B71&amp;" "&amp;Inhaltsverzeichnis!C71&amp;" "&amp;Inhaltsverzeichnis!E71</f>
        <v xml:space="preserve">Erläuterungen und Hinweise  </v>
      </c>
      <c r="C1" s="186"/>
      <c r="D1" s="186"/>
      <c r="E1" s="186"/>
      <c r="F1" s="186"/>
      <c r="G1" s="186"/>
      <c r="H1" s="186"/>
      <c r="I1" s="186"/>
      <c r="J1" s="186"/>
      <c r="K1" s="186"/>
      <c r="L1" s="186"/>
      <c r="M1" s="186"/>
      <c r="N1" s="186"/>
      <c r="O1" s="186"/>
      <c r="P1" s="186"/>
      <c r="Q1" s="186"/>
      <c r="R1" s="186"/>
      <c r="S1" s="186"/>
      <c r="T1" s="186"/>
      <c r="U1" s="186"/>
      <c r="V1" s="186"/>
      <c r="W1" s="186"/>
    </row>
    <row r="3" spans="2:23" x14ac:dyDescent="0.2">
      <c r="B3" s="20" t="s">
        <v>380</v>
      </c>
    </row>
    <row r="4" spans="2:23" ht="38.25" x14ac:dyDescent="0.2">
      <c r="B4" s="14" t="s">
        <v>382</v>
      </c>
    </row>
    <row r="5" spans="2:23" hidden="1" x14ac:dyDescent="0.2">
      <c r="B5" s="14"/>
    </row>
    <row r="6" spans="2:23" ht="25.5" hidden="1" x14ac:dyDescent="0.2">
      <c r="B6" s="166" t="s">
        <v>383</v>
      </c>
    </row>
    <row r="7" spans="2:23" x14ac:dyDescent="0.2">
      <c r="B7" s="14"/>
    </row>
    <row r="8" spans="2:23" s="36" customFormat="1" ht="76.5" x14ac:dyDescent="0.2">
      <c r="B8" s="14" t="s">
        <v>622</v>
      </c>
    </row>
    <row r="9" spans="2:23" s="36" customFormat="1" x14ac:dyDescent="0.2">
      <c r="B9" s="14"/>
    </row>
    <row r="10" spans="2:23" s="36" customFormat="1" ht="38.25" x14ac:dyDescent="0.2">
      <c r="B10" s="14" t="s">
        <v>672</v>
      </c>
    </row>
    <row r="12" spans="2:23" x14ac:dyDescent="0.2">
      <c r="B12" s="20" t="s">
        <v>381</v>
      </c>
    </row>
    <row r="13" spans="2:23" ht="63.75" x14ac:dyDescent="0.2">
      <c r="B13" s="14" t="s">
        <v>673</v>
      </c>
    </row>
    <row r="14" spans="2:23" x14ac:dyDescent="0.2">
      <c r="B14" s="14"/>
    </row>
    <row r="15" spans="2:23" ht="63.75" x14ac:dyDescent="0.2">
      <c r="B15" s="172" t="s">
        <v>674</v>
      </c>
    </row>
    <row r="16" spans="2:23" x14ac:dyDescent="0.2">
      <c r="B16" s="41"/>
    </row>
    <row r="17" spans="2:2" x14ac:dyDescent="0.2">
      <c r="B17" s="20" t="s">
        <v>396</v>
      </c>
    </row>
    <row r="18" spans="2:2" x14ac:dyDescent="0.2">
      <c r="B18" s="14" t="s">
        <v>397</v>
      </c>
    </row>
    <row r="19" spans="2:2" x14ac:dyDescent="0.2">
      <c r="B19" s="14" t="s">
        <v>384</v>
      </c>
    </row>
    <row r="20" spans="2:2" x14ac:dyDescent="0.2">
      <c r="B20" s="40" t="s">
        <v>660</v>
      </c>
    </row>
    <row r="21" spans="2:2" x14ac:dyDescent="0.2">
      <c r="B21" s="40" t="s">
        <v>661</v>
      </c>
    </row>
    <row r="22" spans="2:2" x14ac:dyDescent="0.2">
      <c r="B22" s="40" t="s">
        <v>662</v>
      </c>
    </row>
    <row r="23" spans="2:2" x14ac:dyDescent="0.2">
      <c r="B23" s="40" t="s">
        <v>385</v>
      </c>
    </row>
    <row r="24" spans="2:2" s="86" customFormat="1" x14ac:dyDescent="0.2">
      <c r="B24" s="40" t="s">
        <v>386</v>
      </c>
    </row>
    <row r="25" spans="2:2" s="86" customFormat="1" ht="25.5" x14ac:dyDescent="0.2">
      <c r="B25" s="40" t="s">
        <v>387</v>
      </c>
    </row>
    <row r="26" spans="2:2" s="86" customFormat="1" x14ac:dyDescent="0.2">
      <c r="B26" s="40"/>
    </row>
    <row r="27" spans="2:2" s="86" customFormat="1" x14ac:dyDescent="0.2">
      <c r="B27" s="14" t="s">
        <v>388</v>
      </c>
    </row>
    <row r="28" spans="2:2" s="86" customFormat="1" x14ac:dyDescent="0.2">
      <c r="B28" s="40" t="s">
        <v>659</v>
      </c>
    </row>
    <row r="29" spans="2:2" s="86" customFormat="1" x14ac:dyDescent="0.2">
      <c r="B29" s="40" t="s">
        <v>389</v>
      </c>
    </row>
    <row r="30" spans="2:2" s="86" customFormat="1" x14ac:dyDescent="0.2">
      <c r="B30" s="40" t="s">
        <v>390</v>
      </c>
    </row>
    <row r="31" spans="2:2" s="86" customFormat="1" x14ac:dyDescent="0.2">
      <c r="B31" s="40" t="s">
        <v>391</v>
      </c>
    </row>
    <row r="32" spans="2:2" s="86" customFormat="1" ht="38.25" x14ac:dyDescent="0.2">
      <c r="B32" s="40" t="s">
        <v>392</v>
      </c>
    </row>
    <row r="33" spans="2:2" s="86" customFormat="1" x14ac:dyDescent="0.2">
      <c r="B33" s="40" t="s">
        <v>393</v>
      </c>
    </row>
    <row r="34" spans="2:2" s="36" customFormat="1" x14ac:dyDescent="0.2">
      <c r="B34" s="40" t="s">
        <v>394</v>
      </c>
    </row>
    <row r="35" spans="2:2" s="86" customFormat="1" x14ac:dyDescent="0.2">
      <c r="B35" s="261" t="s">
        <v>675</v>
      </c>
    </row>
    <row r="36" spans="2:2" s="260" customFormat="1" x14ac:dyDescent="0.2">
      <c r="B36" s="40"/>
    </row>
    <row r="37" spans="2:2" s="86" customFormat="1" x14ac:dyDescent="0.2">
      <c r="B37" s="14" t="s">
        <v>395</v>
      </c>
    </row>
    <row r="38" spans="2:2" s="86" customFormat="1" x14ac:dyDescent="0.2">
      <c r="B38" s="40" t="s">
        <v>398</v>
      </c>
    </row>
    <row r="39" spans="2:2" s="86" customFormat="1" x14ac:dyDescent="0.2">
      <c r="B39" s="40" t="s">
        <v>399</v>
      </c>
    </row>
    <row r="40" spans="2:2" s="86" customFormat="1" x14ac:dyDescent="0.2">
      <c r="B40" s="40" t="s">
        <v>400</v>
      </c>
    </row>
    <row r="41" spans="2:2" s="86" customFormat="1" x14ac:dyDescent="0.2">
      <c r="B41" s="40" t="s">
        <v>401</v>
      </c>
    </row>
    <row r="42" spans="2:2" s="86" customFormat="1" x14ac:dyDescent="0.2">
      <c r="B42" s="40" t="s">
        <v>402</v>
      </c>
    </row>
    <row r="43" spans="2:2" s="86" customFormat="1" x14ac:dyDescent="0.2"/>
    <row r="44" spans="2:2" s="86" customFormat="1" x14ac:dyDescent="0.2">
      <c r="B44" s="14" t="s">
        <v>403</v>
      </c>
    </row>
    <row r="45" spans="2:2" s="86" customFormat="1" x14ac:dyDescent="0.2">
      <c r="B45" s="40" t="s">
        <v>404</v>
      </c>
    </row>
    <row r="46" spans="2:2" s="86" customFormat="1" x14ac:dyDescent="0.2">
      <c r="B46" s="40" t="s">
        <v>405</v>
      </c>
    </row>
    <row r="47" spans="2:2" s="86" customFormat="1" x14ac:dyDescent="0.2">
      <c r="B47" s="40" t="s">
        <v>406</v>
      </c>
    </row>
    <row r="48" spans="2:2" s="86" customFormat="1" x14ac:dyDescent="0.2">
      <c r="B48" s="40" t="s">
        <v>407</v>
      </c>
    </row>
    <row r="49" spans="2:2" s="86" customFormat="1" ht="25.5" x14ac:dyDescent="0.2">
      <c r="B49" s="40" t="s">
        <v>408</v>
      </c>
    </row>
    <row r="50" spans="2:2" s="86" customFormat="1" x14ac:dyDescent="0.2">
      <c r="B50" s="40"/>
    </row>
    <row r="51" spans="2:2" s="86" customFormat="1" x14ac:dyDescent="0.2">
      <c r="B51" s="14" t="s">
        <v>409</v>
      </c>
    </row>
    <row r="52" spans="2:2" s="86" customFormat="1" x14ac:dyDescent="0.2">
      <c r="B52" s="14"/>
    </row>
    <row r="53" spans="2:2" s="86" customFormat="1" x14ac:dyDescent="0.2">
      <c r="B53" s="14" t="s">
        <v>412</v>
      </c>
    </row>
    <row r="54" spans="2:2" s="86" customFormat="1" x14ac:dyDescent="0.2">
      <c r="B54" s="40" t="s">
        <v>410</v>
      </c>
    </row>
    <row r="55" spans="2:2" s="86" customFormat="1" x14ac:dyDescent="0.2">
      <c r="B55" s="40" t="s">
        <v>411</v>
      </c>
    </row>
    <row r="56" spans="2:2" s="86" customFormat="1" x14ac:dyDescent="0.2">
      <c r="B56" s="40"/>
    </row>
    <row r="57" spans="2:2" s="86" customFormat="1" x14ac:dyDescent="0.2">
      <c r="B57" s="14" t="s">
        <v>413</v>
      </c>
    </row>
    <row r="58" spans="2:2" s="86" customFormat="1" x14ac:dyDescent="0.2">
      <c r="B58" s="40" t="s">
        <v>414</v>
      </c>
    </row>
    <row r="59" spans="2:2" s="86" customFormat="1" x14ac:dyDescent="0.2">
      <c r="B59" s="40" t="s">
        <v>415</v>
      </c>
    </row>
    <row r="60" spans="2:2" s="86" customFormat="1" x14ac:dyDescent="0.2">
      <c r="B60" s="40" t="s">
        <v>416</v>
      </c>
    </row>
    <row r="61" spans="2:2" s="86" customFormat="1" x14ac:dyDescent="0.2">
      <c r="B61" s="40" t="s">
        <v>417</v>
      </c>
    </row>
    <row r="62" spans="2:2" s="86" customFormat="1" x14ac:dyDescent="0.2">
      <c r="B62" s="40" t="s">
        <v>418</v>
      </c>
    </row>
    <row r="64" spans="2:2" x14ac:dyDescent="0.2">
      <c r="B64" s="113"/>
    </row>
    <row r="65" spans="2:2" s="36" customFormat="1" x14ac:dyDescent="0.2">
      <c r="B65" s="113"/>
    </row>
    <row r="66" spans="2:2" x14ac:dyDescent="0.2">
      <c r="B66" s="14"/>
    </row>
    <row r="67" spans="2:2" x14ac:dyDescent="0.2">
      <c r="B67" s="113"/>
    </row>
    <row r="68" spans="2:2" x14ac:dyDescent="0.2">
      <c r="B68" s="41"/>
    </row>
    <row r="69" spans="2:2" s="39" customFormat="1" x14ac:dyDescent="0.2">
      <c r="B69" s="113"/>
    </row>
    <row r="70" spans="2:2" x14ac:dyDescent="0.2">
      <c r="B70" s="14"/>
    </row>
    <row r="71" spans="2:2" x14ac:dyDescent="0.2">
      <c r="B71" s="37"/>
    </row>
    <row r="72" spans="2:2" x14ac:dyDescent="0.2">
      <c r="B72" s="21"/>
    </row>
    <row r="73" spans="2:2" x14ac:dyDescent="0.2">
      <c r="B73" s="37"/>
    </row>
    <row r="75" spans="2:2" x14ac:dyDescent="0.2">
      <c r="B75" s="37"/>
    </row>
    <row r="76" spans="2:2" x14ac:dyDescent="0.2">
      <c r="B76" s="14"/>
    </row>
    <row r="77" spans="2:2" x14ac:dyDescent="0.2">
      <c r="B77" s="37"/>
    </row>
    <row r="78" spans="2:2" x14ac:dyDescent="0.2">
      <c r="B78" s="21"/>
    </row>
    <row r="79" spans="2:2" x14ac:dyDescent="0.2">
      <c r="B79" s="14"/>
    </row>
    <row r="81" spans="2:2" x14ac:dyDescent="0.2">
      <c r="B81" s="21"/>
    </row>
    <row r="82" spans="2:2" x14ac:dyDescent="0.2">
      <c r="B82" s="14"/>
    </row>
  </sheetData>
  <pageMargins left="0.7" right="0.7" top="0.78740157499999996" bottom="0.78740157499999996" header="0.3" footer="0.3"/>
  <pageSetup paperSize="9" fitToHeight="0" orientation="landscape" r:id="rId1"/>
  <rowBreaks count="2" manualBreakCount="2">
    <brk id="16" max="1" man="1"/>
    <brk id="43"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1:AF25"/>
  <sheetViews>
    <sheetView view="pageBreakPreview" zoomScaleNormal="100" zoomScaleSheetLayoutView="100" zoomScalePageLayoutView="70" workbookViewId="0">
      <selection activeCell="B1" sqref="B1"/>
    </sheetView>
  </sheetViews>
  <sheetFormatPr baseColWidth="10" defaultRowHeight="12.75" x14ac:dyDescent="0.2"/>
  <cols>
    <col min="1" max="1" width="2" style="1" customWidth="1"/>
    <col min="2" max="2" width="16.28515625" style="1" customWidth="1"/>
    <col min="3" max="3" width="13.140625" style="1" customWidth="1"/>
    <col min="4" max="4" width="10.42578125" style="1" customWidth="1"/>
    <col min="5" max="5" width="13.140625" style="1" customWidth="1"/>
    <col min="6" max="6" width="10.42578125" style="1" customWidth="1"/>
    <col min="7" max="7" width="13.140625" style="1" customWidth="1"/>
    <col min="8" max="8" width="10.42578125" style="1" customWidth="1"/>
    <col min="9" max="9" width="13.140625" style="1" customWidth="1"/>
    <col min="10" max="10" width="10.42578125" style="1" customWidth="1"/>
    <col min="11" max="11" width="13.140625" style="1" customWidth="1"/>
    <col min="12" max="12" width="10.42578125" style="1" customWidth="1"/>
    <col min="13" max="13" width="2.42578125" style="1" customWidth="1"/>
    <col min="14" max="16384" width="11.42578125" style="1"/>
  </cols>
  <sheetData>
    <row r="1" spans="2:32" s="11" customFormat="1" ht="15.75" x14ac:dyDescent="0.2">
      <c r="B1" s="186" t="str">
        <f>Inhaltsverzeichnis!B24&amp;" "&amp;Inhaltsverzeichnis!C24&amp;" "&amp;Inhaltsverzeichnis!E24</f>
        <v>Tabelle 3: Verteilung der Pflichtigen, Einkommen und Vermögen nach Stufen des Reineinkommens, 2014</v>
      </c>
      <c r="C1" s="187"/>
      <c r="D1" s="187"/>
      <c r="E1" s="187"/>
      <c r="F1" s="187"/>
      <c r="G1" s="187"/>
      <c r="H1" s="187"/>
      <c r="I1" s="187"/>
      <c r="J1" s="187"/>
      <c r="K1" s="187"/>
      <c r="L1" s="187"/>
      <c r="M1" s="187"/>
      <c r="N1" s="187"/>
      <c r="O1" s="187"/>
      <c r="P1" s="187"/>
      <c r="Q1" s="187"/>
      <c r="R1" s="187"/>
      <c r="S1" s="187"/>
      <c r="T1" s="73"/>
      <c r="U1" s="73"/>
      <c r="V1" s="73"/>
      <c r="W1" s="73"/>
      <c r="X1" s="73"/>
      <c r="Y1" s="73"/>
      <c r="Z1" s="73"/>
      <c r="AA1" s="73"/>
      <c r="AB1" s="73"/>
      <c r="AC1" s="73"/>
      <c r="AD1" s="73"/>
      <c r="AE1" s="73"/>
      <c r="AF1" s="73"/>
    </row>
    <row r="3" spans="2:32" s="45" customFormat="1" ht="21.75" customHeight="1" x14ac:dyDescent="0.2">
      <c r="B3" s="284" t="s">
        <v>100</v>
      </c>
      <c r="C3" s="287" t="s">
        <v>420</v>
      </c>
      <c r="D3" s="283"/>
      <c r="E3" s="282" t="s">
        <v>560</v>
      </c>
      <c r="F3" s="286"/>
      <c r="G3" s="282" t="s">
        <v>561</v>
      </c>
      <c r="H3" s="283"/>
      <c r="I3" s="282" t="s">
        <v>623</v>
      </c>
      <c r="J3" s="283"/>
      <c r="K3" s="282" t="s">
        <v>562</v>
      </c>
      <c r="L3" s="283"/>
    </row>
    <row r="4" spans="2:32" ht="17.25" customHeight="1" x14ac:dyDescent="0.2">
      <c r="B4" s="285"/>
      <c r="C4" s="47" t="s">
        <v>1</v>
      </c>
      <c r="D4" s="47" t="s">
        <v>2</v>
      </c>
      <c r="E4" s="47" t="s">
        <v>3</v>
      </c>
      <c r="F4" s="47" t="s">
        <v>2</v>
      </c>
      <c r="G4" s="47" t="s">
        <v>3</v>
      </c>
      <c r="H4" s="47" t="s">
        <v>2</v>
      </c>
      <c r="I4" s="47" t="s">
        <v>3</v>
      </c>
      <c r="J4" s="47" t="s">
        <v>2</v>
      </c>
      <c r="K4" s="47" t="s">
        <v>3</v>
      </c>
      <c r="L4" s="47" t="s">
        <v>2</v>
      </c>
    </row>
    <row r="5" spans="2:32" x14ac:dyDescent="0.2">
      <c r="B5" s="25">
        <v>0</v>
      </c>
      <c r="C5" s="27">
        <v>15540.621569999999</v>
      </c>
      <c r="D5" s="28">
        <f>C5/SUM($C$5:$C$16)</f>
        <v>4.2703073691974541E-2</v>
      </c>
      <c r="E5" s="27">
        <v>117849.5466</v>
      </c>
      <c r="F5" s="28">
        <f>E5/SUM($E$5:$E$16)</f>
        <v>3.7950599574412751E-3</v>
      </c>
      <c r="G5" s="27">
        <v>0</v>
      </c>
      <c r="H5" s="28">
        <f>G5/SUM($G$5:$G$16)</f>
        <v>0</v>
      </c>
      <c r="I5" s="27">
        <v>1809964.311</v>
      </c>
      <c r="J5" s="28">
        <f>I5/SUM($I$5:$I$16)</f>
        <v>1.0560364995221692E-2</v>
      </c>
      <c r="K5" s="27">
        <v>1087796.362</v>
      </c>
      <c r="L5" s="28">
        <f>K5/SUM($K$5:$K$16)</f>
        <v>1.046085572678058E-2</v>
      </c>
    </row>
    <row r="6" spans="2:32" x14ac:dyDescent="0.2">
      <c r="B6" s="25" t="s">
        <v>38</v>
      </c>
      <c r="C6" s="27">
        <v>20898.547569999999</v>
      </c>
      <c r="D6" s="28">
        <f t="shared" ref="D6:D16" si="0">C6/SUM($C$5:$C$16)</f>
        <v>5.7425773667876878E-2</v>
      </c>
      <c r="E6" s="27">
        <v>257393.11859999999</v>
      </c>
      <c r="F6" s="28">
        <f t="shared" ref="F6:F13" si="1">E6/SUM($E$5:$E$16)</f>
        <v>8.2887235963264444E-3</v>
      </c>
      <c r="G6" s="27">
        <v>102980.2455</v>
      </c>
      <c r="H6" s="28">
        <f t="shared" ref="H6:H16" si="2">G6/SUM($G$5:$G$16)</f>
        <v>4.2216151162004761E-3</v>
      </c>
      <c r="I6" s="27">
        <v>1163974.622</v>
      </c>
      <c r="J6" s="28">
        <f t="shared" ref="J6:J16" si="3">I6/SUM($I$5:$I$16)</f>
        <v>6.7912923911211858E-3</v>
      </c>
      <c r="K6" s="27">
        <v>818243.98820000002</v>
      </c>
      <c r="L6" s="28">
        <f t="shared" ref="L6:L16" si="4">K6/SUM($K$5:$K$16)</f>
        <v>7.8686899578597341E-3</v>
      </c>
    </row>
    <row r="7" spans="2:32" x14ac:dyDescent="0.2">
      <c r="B7" s="25" t="s">
        <v>39</v>
      </c>
      <c r="C7" s="27">
        <v>18793.332310000002</v>
      </c>
      <c r="D7" s="28">
        <f t="shared" si="0"/>
        <v>5.1640988163621837E-2</v>
      </c>
      <c r="E7" s="27">
        <v>445187.12729999999</v>
      </c>
      <c r="F7" s="28">
        <f t="shared" si="1"/>
        <v>1.4336175989874715E-2</v>
      </c>
      <c r="G7" s="27">
        <v>288264.66450000001</v>
      </c>
      <c r="H7" s="28">
        <f t="shared" si="2"/>
        <v>1.1817241833237411E-2</v>
      </c>
      <c r="I7" s="27">
        <v>2004381.118</v>
      </c>
      <c r="J7" s="28">
        <f t="shared" si="3"/>
        <v>1.1694703628667582E-2</v>
      </c>
      <c r="K7" s="27">
        <v>1371439.0959999999</v>
      </c>
      <c r="L7" s="28">
        <f t="shared" si="4"/>
        <v>1.3188522247808714E-2</v>
      </c>
    </row>
    <row r="8" spans="2:32" x14ac:dyDescent="0.2">
      <c r="B8" s="25" t="s">
        <v>40</v>
      </c>
      <c r="C8" s="27">
        <v>27036.789379999998</v>
      </c>
      <c r="D8" s="28">
        <f t="shared" si="0"/>
        <v>7.4292653230634886E-2</v>
      </c>
      <c r="E8" s="27">
        <v>924074.31240000005</v>
      </c>
      <c r="F8" s="28">
        <f t="shared" si="1"/>
        <v>2.9757580931493541E-2</v>
      </c>
      <c r="G8" s="27">
        <v>679714.89690000005</v>
      </c>
      <c r="H8" s="28">
        <f t="shared" si="2"/>
        <v>2.7864515854739227E-2</v>
      </c>
      <c r="I8" s="27">
        <v>4460203.3059999999</v>
      </c>
      <c r="J8" s="28">
        <f t="shared" si="3"/>
        <v>2.6023372161537866E-2</v>
      </c>
      <c r="K8" s="27">
        <v>3166238.7790000001</v>
      </c>
      <c r="L8" s="28">
        <f t="shared" si="4"/>
        <v>3.044831571486438E-2</v>
      </c>
    </row>
    <row r="9" spans="2:32" x14ac:dyDescent="0.2">
      <c r="B9" s="25" t="s">
        <v>41</v>
      </c>
      <c r="C9" s="27">
        <v>78965.937040000004</v>
      </c>
      <c r="D9" s="28">
        <f t="shared" si="0"/>
        <v>0.21698541550516259</v>
      </c>
      <c r="E9" s="27">
        <v>4159513.085</v>
      </c>
      <c r="F9" s="28">
        <f t="shared" si="1"/>
        <v>0.13394707070800496</v>
      </c>
      <c r="G9" s="27">
        <v>3215664.4440000001</v>
      </c>
      <c r="H9" s="28">
        <f t="shared" si="2"/>
        <v>0.13182428881875988</v>
      </c>
      <c r="I9" s="27">
        <v>17676366.550000001</v>
      </c>
      <c r="J9" s="28">
        <f t="shared" si="3"/>
        <v>0.10313401287685811</v>
      </c>
      <c r="K9" s="27">
        <v>12217772.619999999</v>
      </c>
      <c r="L9" s="28">
        <f t="shared" si="4"/>
        <v>0.11749290689430525</v>
      </c>
    </row>
    <row r="10" spans="2:32" x14ac:dyDescent="0.2">
      <c r="B10" s="25" t="s">
        <v>42</v>
      </c>
      <c r="C10" s="27">
        <v>86914.161819999994</v>
      </c>
      <c r="D10" s="28">
        <f t="shared" si="0"/>
        <v>0.23882583076602515</v>
      </c>
      <c r="E10" s="27">
        <v>6746313.3660000004</v>
      </c>
      <c r="F10" s="28">
        <f t="shared" si="1"/>
        <v>0.21724872478769014</v>
      </c>
      <c r="G10" s="27">
        <v>5347012.6670000004</v>
      </c>
      <c r="H10" s="28">
        <f t="shared" si="2"/>
        <v>0.21919766642547595</v>
      </c>
      <c r="I10" s="27">
        <v>30232103.68</v>
      </c>
      <c r="J10" s="28">
        <f t="shared" si="3"/>
        <v>0.17639135064370057</v>
      </c>
      <c r="K10" s="27">
        <v>18351388.050000001</v>
      </c>
      <c r="L10" s="28">
        <f t="shared" si="4"/>
        <v>0.17647716933366175</v>
      </c>
    </row>
    <row r="11" spans="2:32" x14ac:dyDescent="0.2">
      <c r="B11" s="25" t="s">
        <v>43</v>
      </c>
      <c r="C11" s="27">
        <v>53146.151160000001</v>
      </c>
      <c r="D11" s="28">
        <f t="shared" si="0"/>
        <v>0.14603688785597901</v>
      </c>
      <c r="E11" s="27">
        <v>5828305.9970000004</v>
      </c>
      <c r="F11" s="28">
        <f t="shared" si="1"/>
        <v>0.18768651511239287</v>
      </c>
      <c r="G11" s="27">
        <v>4590678.25</v>
      </c>
      <c r="H11" s="28">
        <f t="shared" si="2"/>
        <v>0.18819217802129579</v>
      </c>
      <c r="I11" s="27">
        <v>28765476.059999999</v>
      </c>
      <c r="J11" s="28">
        <f t="shared" si="3"/>
        <v>0.16783420789500395</v>
      </c>
      <c r="K11" s="27">
        <v>15513731.92</v>
      </c>
      <c r="L11" s="28">
        <f t="shared" si="4"/>
        <v>0.14918868739429622</v>
      </c>
    </row>
    <row r="12" spans="2:32" x14ac:dyDescent="0.2">
      <c r="B12" s="25" t="s">
        <v>44</v>
      </c>
      <c r="C12" s="27">
        <v>42158.709759999998</v>
      </c>
      <c r="D12" s="28">
        <f t="shared" si="0"/>
        <v>0.11584520487360701</v>
      </c>
      <c r="E12" s="27">
        <v>6367174.5880000005</v>
      </c>
      <c r="F12" s="28">
        <f t="shared" si="1"/>
        <v>0.20503947633309308</v>
      </c>
      <c r="G12" s="27">
        <v>5031556.4069999997</v>
      </c>
      <c r="H12" s="28">
        <f t="shared" si="2"/>
        <v>0.20626572099021215</v>
      </c>
      <c r="I12" s="27">
        <v>34878549.770000003</v>
      </c>
      <c r="J12" s="28">
        <f t="shared" si="3"/>
        <v>0.20350136952242126</v>
      </c>
      <c r="K12" s="27">
        <v>18179806.690000001</v>
      </c>
      <c r="L12" s="28">
        <f t="shared" si="4"/>
        <v>0.1748271474039462</v>
      </c>
    </row>
    <row r="13" spans="2:32" x14ac:dyDescent="0.2">
      <c r="B13" s="25" t="s">
        <v>45</v>
      </c>
      <c r="C13" s="27">
        <v>15386.33546</v>
      </c>
      <c r="D13" s="28">
        <f t="shared" si="0"/>
        <v>4.2279120821408757E-2</v>
      </c>
      <c r="E13" s="27">
        <v>3512224.2390000001</v>
      </c>
      <c r="F13" s="28">
        <f t="shared" si="1"/>
        <v>0.11310269708736881</v>
      </c>
      <c r="G13" s="27">
        <v>2820813.4240000001</v>
      </c>
      <c r="H13" s="28">
        <f t="shared" si="2"/>
        <v>0.11563760149260492</v>
      </c>
      <c r="I13" s="27">
        <v>22924405.829999998</v>
      </c>
      <c r="J13" s="28">
        <f t="shared" si="3"/>
        <v>0.13375406984109758</v>
      </c>
      <c r="K13" s="27">
        <v>12829843.77</v>
      </c>
      <c r="L13" s="28">
        <f t="shared" si="4"/>
        <v>0.12337892400039543</v>
      </c>
    </row>
    <row r="14" spans="2:32" x14ac:dyDescent="0.2">
      <c r="B14" s="25" t="s">
        <v>46</v>
      </c>
      <c r="C14" s="27">
        <v>4082.8203149999999</v>
      </c>
      <c r="D14" s="28">
        <f t="shared" si="0"/>
        <v>1.1218919140216586E-2</v>
      </c>
      <c r="E14" s="27">
        <v>1599650.1640000001</v>
      </c>
      <c r="F14" s="28">
        <f>E14/SUM($E$5:$E$16)</f>
        <v>5.1512869234159354E-2</v>
      </c>
      <c r="G14" s="27">
        <v>1329273.7309999999</v>
      </c>
      <c r="H14" s="28">
        <f t="shared" si="2"/>
        <v>5.4492801499077842E-2</v>
      </c>
      <c r="I14" s="27">
        <v>13583571.32</v>
      </c>
      <c r="J14" s="28">
        <f t="shared" si="3"/>
        <v>7.9254309162908848E-2</v>
      </c>
      <c r="K14" s="27">
        <v>8894681.8760000002</v>
      </c>
      <c r="L14" s="28">
        <f t="shared" si="4"/>
        <v>8.5536215316416031E-2</v>
      </c>
    </row>
    <row r="15" spans="2:32" x14ac:dyDescent="0.2">
      <c r="B15" s="25" t="s">
        <v>47</v>
      </c>
      <c r="C15" s="27">
        <v>779.9881292</v>
      </c>
      <c r="D15" s="28">
        <f t="shared" si="0"/>
        <v>2.1432791738775323E-3</v>
      </c>
      <c r="E15" s="27">
        <v>582536.63800000004</v>
      </c>
      <c r="F15" s="28">
        <f>E15/SUM($E$5:$E$16)</f>
        <v>1.875918518481821E-2</v>
      </c>
      <c r="G15" s="27">
        <v>506216.54470000003</v>
      </c>
      <c r="H15" s="28">
        <f t="shared" si="2"/>
        <v>2.0752052073679448E-2</v>
      </c>
      <c r="I15" s="27">
        <v>6420370.5949999997</v>
      </c>
      <c r="J15" s="28">
        <f t="shared" si="3"/>
        <v>3.7460107072679549E-2</v>
      </c>
      <c r="K15" s="27">
        <v>4836159.2560000001</v>
      </c>
      <c r="L15" s="28">
        <f t="shared" si="4"/>
        <v>4.6507201178478029E-2</v>
      </c>
    </row>
    <row r="16" spans="2:32" x14ac:dyDescent="0.2">
      <c r="B16" s="95" t="s">
        <v>48</v>
      </c>
      <c r="C16" s="27">
        <v>219.39198350000001</v>
      </c>
      <c r="D16" s="28">
        <f t="shared" si="0"/>
        <v>6.0285310961529089E-4</v>
      </c>
      <c r="E16" s="27">
        <v>513186.17570000002</v>
      </c>
      <c r="F16" s="28">
        <f>E16/SUM($E$5:$E$16)</f>
        <v>1.6525921077336522E-2</v>
      </c>
      <c r="G16" s="27">
        <v>481390.3787</v>
      </c>
      <c r="H16" s="28">
        <f t="shared" si="2"/>
        <v>1.9734317874716967E-2</v>
      </c>
      <c r="I16" s="27">
        <v>7472844.3590000002</v>
      </c>
      <c r="J16" s="28">
        <f t="shared" si="3"/>
        <v>4.3600839808782002E-2</v>
      </c>
      <c r="K16" s="27">
        <v>6720218.5549999997</v>
      </c>
      <c r="L16" s="28">
        <f t="shared" si="4"/>
        <v>6.4625364831187831E-2</v>
      </c>
    </row>
    <row r="17" spans="2:12" x14ac:dyDescent="0.2">
      <c r="B17" s="10" t="s">
        <v>0</v>
      </c>
      <c r="C17" s="90">
        <f>SUM(C5:C16)</f>
        <v>363922.78649769997</v>
      </c>
      <c r="D17" s="29">
        <f t="shared" ref="D17:L17" si="5">SUM(D5:D16)</f>
        <v>1.0000000000000002</v>
      </c>
      <c r="E17" s="90">
        <f t="shared" si="5"/>
        <v>31053408.357600003</v>
      </c>
      <c r="F17" s="29">
        <f t="shared" si="5"/>
        <v>0.99999999999999989</v>
      </c>
      <c r="G17" s="90">
        <f t="shared" si="5"/>
        <v>24393565.653299998</v>
      </c>
      <c r="H17" s="29">
        <f t="shared" si="5"/>
        <v>1</v>
      </c>
      <c r="I17" s="90">
        <f t="shared" si="5"/>
        <v>171392211.52099997</v>
      </c>
      <c r="J17" s="29">
        <f t="shared" si="5"/>
        <v>1.0000000000000002</v>
      </c>
      <c r="K17" s="90">
        <f t="shared" si="5"/>
        <v>103987320.96219999</v>
      </c>
      <c r="L17" s="29">
        <f t="shared" si="5"/>
        <v>1.0000000000000002</v>
      </c>
    </row>
    <row r="19" spans="2:12" x14ac:dyDescent="0.2">
      <c r="B19" s="176" t="s">
        <v>33</v>
      </c>
    </row>
    <row r="20" spans="2:12" x14ac:dyDescent="0.2">
      <c r="B20" s="176" t="s">
        <v>625</v>
      </c>
    </row>
    <row r="21" spans="2:12" x14ac:dyDescent="0.2">
      <c r="B21" s="176" t="s">
        <v>557</v>
      </c>
    </row>
    <row r="22" spans="2:12" x14ac:dyDescent="0.2">
      <c r="B22" s="176" t="s">
        <v>628</v>
      </c>
    </row>
    <row r="23" spans="2:12" x14ac:dyDescent="0.2">
      <c r="B23" s="176" t="s">
        <v>629</v>
      </c>
    </row>
    <row r="25" spans="2:12" x14ac:dyDescent="0.2">
      <c r="B25" s="176"/>
    </row>
  </sheetData>
  <mergeCells count="6">
    <mergeCell ref="K3:L3"/>
    <mergeCell ref="B3:B4"/>
    <mergeCell ref="E3:F3"/>
    <mergeCell ref="C3:D3"/>
    <mergeCell ref="G3:H3"/>
    <mergeCell ref="I3:J3"/>
  </mergeCells>
  <phoneticPr fontId="5" type="noConversion"/>
  <pageMargins left="0.78740157480314965" right="0.78740157480314965" top="0.98425196850393704" bottom="0.98425196850393704" header="0.51181102362204722" footer="0.51181102362204722"/>
  <pageSetup paperSize="9" scale="96" orientation="landscape" r:id="rId1"/>
  <headerFooter alignWithMargins="0"/>
  <colBreaks count="1" manualBreakCount="1">
    <brk id="14" max="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1:AF45"/>
  <sheetViews>
    <sheetView view="pageBreakPreview" zoomScaleNormal="100" zoomScaleSheetLayoutView="100" zoomScalePageLayoutView="70" workbookViewId="0">
      <selection activeCell="P11" sqref="P11"/>
    </sheetView>
  </sheetViews>
  <sheetFormatPr baseColWidth="10" defaultRowHeight="12.75" x14ac:dyDescent="0.2"/>
  <cols>
    <col min="1" max="1" width="2" style="62" customWidth="1"/>
    <col min="2" max="2" width="16.28515625" style="76" customWidth="1"/>
    <col min="3" max="3" width="11.42578125" style="62" customWidth="1"/>
    <col min="4" max="4" width="10.42578125" style="62" customWidth="1"/>
    <col min="5" max="5" width="12.42578125" style="62" customWidth="1"/>
    <col min="6" max="6" width="10.42578125" style="62" customWidth="1"/>
    <col min="7" max="7" width="11.42578125" style="62" customWidth="1"/>
    <col min="8" max="8" width="10.42578125" style="62" customWidth="1"/>
    <col min="9" max="9" width="12" style="62" customWidth="1"/>
    <col min="10" max="10" width="10.42578125" style="62" customWidth="1"/>
    <col min="11" max="11" width="12" style="62" customWidth="1"/>
    <col min="12" max="12" width="10.42578125" style="62" customWidth="1"/>
    <col min="13" max="13" width="4.28515625" style="62" customWidth="1"/>
    <col min="14" max="14" width="13.7109375" style="62" customWidth="1"/>
    <col min="15" max="17" width="11.42578125" style="62" customWidth="1"/>
    <col min="18" max="16384" width="11.42578125" style="62"/>
  </cols>
  <sheetData>
    <row r="1" spans="2:32" s="11" customFormat="1" ht="15.75" x14ac:dyDescent="0.2">
      <c r="B1" s="186" t="str">
        <f>Inhaltsverzeichnis!B25&amp;" "&amp;Inhaltsverzeichnis!C25&amp;" "&amp;Inhaltsverzeichnis!E25</f>
        <v>Tabelle 4: Verteilung der Pflichtigen, Einkommen und Vermögen nach Stufen des Reinvermögens, 2014</v>
      </c>
      <c r="C1" s="187"/>
      <c r="D1" s="187"/>
      <c r="E1" s="187"/>
      <c r="F1" s="187"/>
      <c r="G1" s="187"/>
      <c r="H1" s="187"/>
      <c r="I1" s="187"/>
      <c r="J1" s="187"/>
      <c r="K1" s="187"/>
      <c r="L1" s="187"/>
      <c r="M1" s="187"/>
      <c r="N1" s="187"/>
      <c r="O1" s="187"/>
      <c r="P1" s="187"/>
      <c r="Q1" s="187"/>
      <c r="R1" s="187"/>
      <c r="S1" s="187"/>
      <c r="T1" s="75"/>
      <c r="U1" s="75"/>
      <c r="V1" s="75"/>
      <c r="W1" s="75"/>
      <c r="X1" s="61"/>
      <c r="Y1" s="61"/>
      <c r="Z1" s="61"/>
      <c r="AA1" s="61"/>
      <c r="AB1" s="61"/>
      <c r="AC1" s="61"/>
      <c r="AD1" s="61"/>
      <c r="AE1" s="61"/>
      <c r="AF1" s="61"/>
    </row>
    <row r="3" spans="2:32" ht="22.5" customHeight="1" x14ac:dyDescent="0.2">
      <c r="B3" s="284" t="s">
        <v>62</v>
      </c>
      <c r="C3" s="287" t="s">
        <v>10</v>
      </c>
      <c r="D3" s="283"/>
      <c r="E3" s="282" t="s">
        <v>76</v>
      </c>
      <c r="F3" s="286"/>
      <c r="G3" s="282" t="s">
        <v>30</v>
      </c>
      <c r="H3" s="283"/>
      <c r="I3" s="282" t="s">
        <v>170</v>
      </c>
      <c r="J3" s="283"/>
      <c r="K3" s="282" t="s">
        <v>32</v>
      </c>
      <c r="L3" s="283"/>
    </row>
    <row r="4" spans="2:32" ht="16.5" customHeight="1" x14ac:dyDescent="0.2">
      <c r="B4" s="285"/>
      <c r="C4" s="47" t="s">
        <v>1</v>
      </c>
      <c r="D4" s="47" t="s">
        <v>2</v>
      </c>
      <c r="E4" s="47" t="s">
        <v>3</v>
      </c>
      <c r="F4" s="47" t="s">
        <v>2</v>
      </c>
      <c r="G4" s="47" t="s">
        <v>3</v>
      </c>
      <c r="H4" s="47" t="s">
        <v>2</v>
      </c>
      <c r="I4" s="47" t="s">
        <v>3</v>
      </c>
      <c r="J4" s="47" t="s">
        <v>2</v>
      </c>
      <c r="K4" s="47" t="s">
        <v>3</v>
      </c>
      <c r="L4" s="47" t="s">
        <v>2</v>
      </c>
    </row>
    <row r="5" spans="2:32" x14ac:dyDescent="0.2">
      <c r="B5" s="94">
        <v>0</v>
      </c>
      <c r="C5" s="121">
        <v>75338.389219999997</v>
      </c>
      <c r="D5" s="28">
        <f>C5/SUM($C$5:$C$15)</f>
        <v>0.20701751034512131</v>
      </c>
      <c r="E5" s="121">
        <v>6176235.6789999995</v>
      </c>
      <c r="F5" s="28">
        <f>E5/SUM($E$5:$E$15)</f>
        <v>0.19889075003024903</v>
      </c>
      <c r="G5" s="121">
        <v>4644804.0690000001</v>
      </c>
      <c r="H5" s="28">
        <f>G5/SUM($G$5:$G$15)</f>
        <v>0.19041103441184401</v>
      </c>
      <c r="I5" s="121">
        <v>16529564.369999999</v>
      </c>
      <c r="J5" s="28">
        <f>I5/SUM($I$5:$I$15)</f>
        <v>9.6442914301059848E-2</v>
      </c>
      <c r="K5" s="121">
        <v>0</v>
      </c>
      <c r="L5" s="28">
        <f>K5/SUM($K$5:$K$15)</f>
        <v>0</v>
      </c>
    </row>
    <row r="6" spans="2:32" x14ac:dyDescent="0.2">
      <c r="B6" s="24" t="s">
        <v>49</v>
      </c>
      <c r="C6" s="121">
        <v>89532.537819999998</v>
      </c>
      <c r="D6" s="28">
        <f t="shared" ref="D6:D15" si="0">C6/SUM($C$5:$C$15)</f>
        <v>0.24602069763201684</v>
      </c>
      <c r="E6" s="121">
        <v>4436204.9380000001</v>
      </c>
      <c r="F6" s="28">
        <f t="shared" ref="F6:F15" si="1">E6/SUM($E$5:$E$15)</f>
        <v>0.14285726343097901</v>
      </c>
      <c r="G6" s="121">
        <v>3469159.4739999999</v>
      </c>
      <c r="H6" s="28">
        <f t="shared" ref="H6:H15" si="2">G6/SUM($G$5:$G$15)</f>
        <v>0.14221616976110787</v>
      </c>
      <c r="I6" s="121">
        <v>3514983.6609999998</v>
      </c>
      <c r="J6" s="28">
        <f t="shared" ref="J6:J15" si="3">I6/SUM($I$5:$I$15)</f>
        <v>2.0508421177916899E-2</v>
      </c>
      <c r="K6" s="121">
        <v>782350.98820000002</v>
      </c>
      <c r="L6" s="28">
        <f t="shared" ref="L6:L15" si="4">K6/SUM($K$5:$K$15)</f>
        <v>7.5235228773653691E-3</v>
      </c>
    </row>
    <row r="7" spans="2:32" x14ac:dyDescent="0.2">
      <c r="B7" s="25" t="s">
        <v>51</v>
      </c>
      <c r="C7" s="121">
        <v>30347.41203</v>
      </c>
      <c r="D7" s="28">
        <f t="shared" si="0"/>
        <v>8.3389700110556519E-2</v>
      </c>
      <c r="E7" s="121">
        <v>2069858.3370000001</v>
      </c>
      <c r="F7" s="28">
        <f t="shared" si="1"/>
        <v>6.6654787559685361E-2</v>
      </c>
      <c r="G7" s="121">
        <v>1616102.973</v>
      </c>
      <c r="H7" s="28">
        <f t="shared" si="2"/>
        <v>6.6251199024469853E-2</v>
      </c>
      <c r="I7" s="121">
        <v>3698869.0830000001</v>
      </c>
      <c r="J7" s="28">
        <f t="shared" si="3"/>
        <v>2.1581313699352431E-2</v>
      </c>
      <c r="K7" s="121">
        <v>1100745.8940000001</v>
      </c>
      <c r="L7" s="28">
        <f t="shared" si="4"/>
        <v>1.0585385639671383E-2</v>
      </c>
    </row>
    <row r="8" spans="2:32" x14ac:dyDescent="0.2">
      <c r="B8" s="25" t="s">
        <v>52</v>
      </c>
      <c r="C8" s="121">
        <v>33738.611060000003</v>
      </c>
      <c r="D8" s="28">
        <f t="shared" si="0"/>
        <v>9.270815763989565E-2</v>
      </c>
      <c r="E8" s="121">
        <v>2707126.7209999999</v>
      </c>
      <c r="F8" s="28">
        <f t="shared" si="1"/>
        <v>8.7176476408975898E-2</v>
      </c>
      <c r="G8" s="121">
        <v>2107067.3820000002</v>
      </c>
      <c r="H8" s="28">
        <f t="shared" si="2"/>
        <v>8.6377998688856233E-2</v>
      </c>
      <c r="I8" s="121">
        <v>7193616.5489999996</v>
      </c>
      <c r="J8" s="28">
        <f t="shared" si="3"/>
        <v>4.1971665363973107E-2</v>
      </c>
      <c r="K8" s="121">
        <v>2440203.0099999998</v>
      </c>
      <c r="L8" s="28">
        <f t="shared" si="4"/>
        <v>2.3466351353872851E-2</v>
      </c>
    </row>
    <row r="9" spans="2:32" x14ac:dyDescent="0.2">
      <c r="B9" s="25" t="s">
        <v>53</v>
      </c>
      <c r="C9" s="121">
        <v>46289.277779999997</v>
      </c>
      <c r="D9" s="28">
        <f t="shared" si="0"/>
        <v>0.12719532685662249</v>
      </c>
      <c r="E9" s="121">
        <v>4396729.5120000001</v>
      </c>
      <c r="F9" s="28">
        <f t="shared" si="1"/>
        <v>0.14158605269794319</v>
      </c>
      <c r="G9" s="121">
        <v>3431716.9419999998</v>
      </c>
      <c r="H9" s="28">
        <f t="shared" si="2"/>
        <v>0.14068123499460147</v>
      </c>
      <c r="I9" s="121">
        <v>18051557.100000001</v>
      </c>
      <c r="J9" s="28">
        <f t="shared" si="3"/>
        <v>0.10532308870496801</v>
      </c>
      <c r="K9" s="121">
        <v>7620422.9610000001</v>
      </c>
      <c r="L9" s="28">
        <f t="shared" si="4"/>
        <v>7.3282231820518129E-2</v>
      </c>
      <c r="P9" s="63"/>
      <c r="Q9" s="64"/>
      <c r="R9" s="64"/>
      <c r="S9" s="64"/>
      <c r="T9" s="64"/>
    </row>
    <row r="10" spans="2:32" x14ac:dyDescent="0.2">
      <c r="B10" s="25" t="s">
        <v>54</v>
      </c>
      <c r="C10" s="121">
        <v>36126.144899999999</v>
      </c>
      <c r="D10" s="28">
        <f t="shared" si="0"/>
        <v>9.9268708197702324E-2</v>
      </c>
      <c r="E10" s="121">
        <v>3670947.719</v>
      </c>
      <c r="F10" s="28">
        <f t="shared" si="1"/>
        <v>0.11821400333478789</v>
      </c>
      <c r="G10" s="121">
        <v>2895845.9109999998</v>
      </c>
      <c r="H10" s="28">
        <f t="shared" si="2"/>
        <v>0.11871351454648812</v>
      </c>
      <c r="I10" s="121">
        <v>22800270.300000001</v>
      </c>
      <c r="J10" s="28">
        <f t="shared" si="3"/>
        <v>0.13302979227781672</v>
      </c>
      <c r="K10" s="121">
        <v>13018157.27</v>
      </c>
      <c r="L10" s="28">
        <f t="shared" si="4"/>
        <v>0.12518985151067172</v>
      </c>
      <c r="O10" s="65"/>
      <c r="P10" s="64"/>
      <c r="Q10" s="66"/>
      <c r="R10" s="66"/>
      <c r="S10" s="66"/>
      <c r="T10" s="66"/>
    </row>
    <row r="11" spans="2:32" x14ac:dyDescent="0.2">
      <c r="B11" s="25" t="s">
        <v>55</v>
      </c>
      <c r="C11" s="121">
        <v>19309.701679999998</v>
      </c>
      <c r="D11" s="28">
        <f t="shared" si="0"/>
        <v>5.3059886316754547E-2</v>
      </c>
      <c r="E11" s="121">
        <v>2066883.162</v>
      </c>
      <c r="F11" s="28">
        <f t="shared" si="1"/>
        <v>6.6558979235978852E-2</v>
      </c>
      <c r="G11" s="121">
        <v>1656896.5390000001</v>
      </c>
      <c r="H11" s="28">
        <f t="shared" si="2"/>
        <v>6.792350747581001E-2</v>
      </c>
      <c r="I11" s="121">
        <v>17209324.239999998</v>
      </c>
      <c r="J11" s="28">
        <f t="shared" si="3"/>
        <v>0.1004090214179959</v>
      </c>
      <c r="K11" s="121">
        <v>11835135.93</v>
      </c>
      <c r="L11" s="28">
        <f t="shared" si="4"/>
        <v>0.11381325935428001</v>
      </c>
      <c r="O11" s="65"/>
      <c r="P11" s="64"/>
      <c r="Q11" s="66"/>
      <c r="R11" s="66"/>
      <c r="S11" s="66"/>
      <c r="T11" s="66"/>
    </row>
    <row r="12" spans="2:32" x14ac:dyDescent="0.2">
      <c r="B12" s="25" t="s">
        <v>56</v>
      </c>
      <c r="C12" s="121">
        <v>10915.164720000001</v>
      </c>
      <c r="D12" s="28">
        <f t="shared" si="0"/>
        <v>2.9993078545160107E-2</v>
      </c>
      <c r="E12" s="121">
        <v>1263838.2960000001</v>
      </c>
      <c r="F12" s="28">
        <f t="shared" si="1"/>
        <v>4.0698859252257483E-2</v>
      </c>
      <c r="G12" s="121">
        <v>1022141.811</v>
      </c>
      <c r="H12" s="28">
        <f t="shared" si="2"/>
        <v>4.1902107528511458E-2</v>
      </c>
      <c r="I12" s="121">
        <v>12699281.050000001</v>
      </c>
      <c r="J12" s="28">
        <f t="shared" si="3"/>
        <v>7.4094854926308226E-2</v>
      </c>
      <c r="K12" s="121">
        <v>9413325.4649999999</v>
      </c>
      <c r="L12" s="28">
        <f t="shared" si="4"/>
        <v>9.0523780957900118E-2</v>
      </c>
      <c r="O12" s="65"/>
      <c r="P12" s="64"/>
      <c r="Q12" s="66"/>
      <c r="R12" s="66"/>
      <c r="S12" s="66"/>
      <c r="T12" s="66"/>
    </row>
    <row r="13" spans="2:32" x14ac:dyDescent="0.2">
      <c r="B13" s="25" t="s">
        <v>57</v>
      </c>
      <c r="C13" s="121">
        <v>20761.813709999999</v>
      </c>
      <c r="D13" s="28">
        <f t="shared" si="0"/>
        <v>5.7050051494230855E-2</v>
      </c>
      <c r="E13" s="121">
        <v>3320054.554</v>
      </c>
      <c r="F13" s="28">
        <f t="shared" si="1"/>
        <v>0.10691433661309349</v>
      </c>
      <c r="G13" s="121">
        <v>2720604.9920000001</v>
      </c>
      <c r="H13" s="28">
        <f t="shared" si="2"/>
        <v>0.11152961525549908</v>
      </c>
      <c r="I13" s="121">
        <v>46692864.270000003</v>
      </c>
      <c r="J13" s="28">
        <f t="shared" si="3"/>
        <v>0.27243282439043676</v>
      </c>
      <c r="K13" s="121">
        <v>37300385.299999997</v>
      </c>
      <c r="L13" s="28">
        <f t="shared" si="4"/>
        <v>0.35870128161371045</v>
      </c>
      <c r="O13" s="65"/>
      <c r="P13" s="64"/>
      <c r="Q13" s="66"/>
      <c r="R13" s="66"/>
      <c r="S13" s="66"/>
      <c r="T13" s="66"/>
    </row>
    <row r="14" spans="2:32" x14ac:dyDescent="0.2">
      <c r="B14" s="25" t="s">
        <v>58</v>
      </c>
      <c r="C14" s="121">
        <v>1081.8331820000001</v>
      </c>
      <c r="D14" s="28">
        <f t="shared" si="0"/>
        <v>2.9726997652204457E-3</v>
      </c>
      <c r="E14" s="121">
        <v>424016.36629999999</v>
      </c>
      <c r="F14" s="28">
        <f t="shared" si="1"/>
        <v>1.365442277490328E-2</v>
      </c>
      <c r="G14" s="121">
        <v>358931.25349999999</v>
      </c>
      <c r="H14" s="28">
        <f t="shared" si="2"/>
        <v>1.4714177443525402E-2</v>
      </c>
      <c r="I14" s="121">
        <v>8580709.5629999992</v>
      </c>
      <c r="J14" s="28">
        <f t="shared" si="3"/>
        <v>5.0064757818338905E-2</v>
      </c>
      <c r="K14" s="121">
        <v>7266264.1320000002</v>
      </c>
      <c r="L14" s="28">
        <f t="shared" si="4"/>
        <v>6.987644325197187E-2</v>
      </c>
      <c r="O14" s="65"/>
      <c r="P14" s="64"/>
      <c r="Q14" s="66"/>
      <c r="R14" s="66"/>
      <c r="S14" s="66"/>
      <c r="T14" s="66"/>
    </row>
    <row r="15" spans="2:32" x14ac:dyDescent="0.2">
      <c r="B15" s="94" t="s">
        <v>50</v>
      </c>
      <c r="C15" s="121">
        <v>481.90040240000002</v>
      </c>
      <c r="D15" s="28">
        <f t="shared" si="0"/>
        <v>1.3241830967189894E-3</v>
      </c>
      <c r="E15" s="121">
        <v>521513.07209999999</v>
      </c>
      <c r="F15" s="28">
        <f t="shared" si="1"/>
        <v>1.6794068661146432E-2</v>
      </c>
      <c r="G15" s="121">
        <v>470294.30660000001</v>
      </c>
      <c r="H15" s="28">
        <f t="shared" si="2"/>
        <v>1.927944086928652E-2</v>
      </c>
      <c r="I15" s="121">
        <v>14421171.359999999</v>
      </c>
      <c r="J15" s="28">
        <f t="shared" si="3"/>
        <v>8.4141345921833199E-2</v>
      </c>
      <c r="K15" s="121">
        <v>13210330.01</v>
      </c>
      <c r="L15" s="28">
        <f t="shared" si="4"/>
        <v>0.12703789162003806</v>
      </c>
      <c r="O15" s="65"/>
      <c r="P15" s="64"/>
      <c r="Q15" s="66"/>
      <c r="R15" s="66"/>
      <c r="S15" s="66"/>
      <c r="T15" s="66"/>
    </row>
    <row r="16" spans="2:32" x14ac:dyDescent="0.2">
      <c r="B16" s="10" t="s">
        <v>0</v>
      </c>
      <c r="C16" s="90">
        <f>SUM(C5:C15)</f>
        <v>363922.78650439996</v>
      </c>
      <c r="D16" s="29">
        <f t="shared" ref="D16:L16" si="5">SUM(D5:D15)</f>
        <v>0.99999999999999978</v>
      </c>
      <c r="E16" s="90">
        <f t="shared" si="5"/>
        <v>31053408.356400002</v>
      </c>
      <c r="F16" s="29">
        <f t="shared" si="5"/>
        <v>0.99999999999999989</v>
      </c>
      <c r="G16" s="90">
        <f t="shared" si="5"/>
        <v>24393565.653099999</v>
      </c>
      <c r="H16" s="29">
        <f t="shared" si="5"/>
        <v>1</v>
      </c>
      <c r="I16" s="90">
        <f t="shared" si="5"/>
        <v>171392211.546</v>
      </c>
      <c r="J16" s="29">
        <f t="shared" si="5"/>
        <v>1</v>
      </c>
      <c r="K16" s="90">
        <f t="shared" si="5"/>
        <v>103987320.9602</v>
      </c>
      <c r="L16" s="29">
        <f t="shared" si="5"/>
        <v>1</v>
      </c>
      <c r="O16" s="65"/>
      <c r="P16" s="64"/>
      <c r="Q16" s="66"/>
      <c r="R16" s="66"/>
      <c r="S16" s="66"/>
      <c r="T16" s="66"/>
    </row>
    <row r="17" spans="15:20" x14ac:dyDescent="0.2">
      <c r="O17" s="65"/>
      <c r="P17" s="64"/>
      <c r="Q17" s="66"/>
      <c r="R17" s="66"/>
      <c r="S17" s="66"/>
      <c r="T17" s="66"/>
    </row>
    <row r="18" spans="15:20" x14ac:dyDescent="0.2">
      <c r="O18" s="65"/>
      <c r="P18" s="64"/>
      <c r="Q18" s="66"/>
      <c r="R18" s="66"/>
      <c r="S18" s="66"/>
      <c r="T18" s="66"/>
    </row>
    <row r="19" spans="15:20" x14ac:dyDescent="0.2">
      <c r="O19" s="65"/>
      <c r="P19" s="52"/>
      <c r="Q19" s="52"/>
      <c r="R19" s="52"/>
      <c r="S19" s="52"/>
      <c r="T19" s="52"/>
    </row>
    <row r="20" spans="15:20" x14ac:dyDescent="0.2">
      <c r="O20" s="65"/>
      <c r="P20" s="59"/>
      <c r="Q20" s="59"/>
      <c r="R20" s="59"/>
      <c r="S20" s="59"/>
      <c r="T20" s="59"/>
    </row>
    <row r="21" spans="15:20" x14ac:dyDescent="0.2">
      <c r="O21" s="65"/>
    </row>
    <row r="22" spans="15:20" x14ac:dyDescent="0.2">
      <c r="O22" s="65"/>
    </row>
    <row r="23" spans="15:20" x14ac:dyDescent="0.2">
      <c r="O23" s="65"/>
    </row>
    <row r="24" spans="15:20" x14ac:dyDescent="0.2">
      <c r="O24" s="65"/>
    </row>
    <row r="25" spans="15:20" x14ac:dyDescent="0.2">
      <c r="O25" s="65"/>
    </row>
    <row r="26" spans="15:20" x14ac:dyDescent="0.2">
      <c r="O26" s="65"/>
    </row>
    <row r="27" spans="15:20" x14ac:dyDescent="0.2">
      <c r="O27" s="65"/>
    </row>
    <row r="28" spans="15:20" x14ac:dyDescent="0.2">
      <c r="O28" s="65"/>
    </row>
    <row r="29" spans="15:20" x14ac:dyDescent="0.2">
      <c r="O29" s="65"/>
    </row>
    <row r="31" spans="15:20" x14ac:dyDescent="0.2">
      <c r="P31" s="59"/>
      <c r="Q31" s="59"/>
      <c r="R31" s="59"/>
      <c r="S31" s="59"/>
      <c r="T31" s="59"/>
    </row>
    <row r="32" spans="15:20" x14ac:dyDescent="0.2">
      <c r="P32" s="59"/>
      <c r="Q32" s="59"/>
      <c r="R32" s="59"/>
      <c r="S32" s="59"/>
      <c r="T32" s="59"/>
    </row>
    <row r="33" spans="16:20" x14ac:dyDescent="0.2">
      <c r="P33" s="59"/>
      <c r="Q33" s="59"/>
      <c r="R33" s="59"/>
      <c r="S33" s="59"/>
      <c r="T33" s="59"/>
    </row>
    <row r="34" spans="16:20" x14ac:dyDescent="0.2">
      <c r="Q34" s="59"/>
      <c r="R34" s="59"/>
      <c r="S34" s="59"/>
      <c r="T34" s="59"/>
    </row>
    <row r="35" spans="16:20" x14ac:dyDescent="0.2">
      <c r="Q35" s="59"/>
      <c r="R35" s="59"/>
      <c r="S35" s="59"/>
      <c r="T35" s="59"/>
    </row>
    <row r="36" spans="16:20" x14ac:dyDescent="0.2">
      <c r="Q36" s="59"/>
      <c r="R36" s="59"/>
      <c r="S36" s="59"/>
      <c r="T36" s="59"/>
    </row>
    <row r="37" spans="16:20" x14ac:dyDescent="0.2">
      <c r="Q37" s="59"/>
      <c r="R37" s="59"/>
      <c r="S37" s="59"/>
      <c r="T37" s="59"/>
    </row>
    <row r="38" spans="16:20" x14ac:dyDescent="0.2">
      <c r="Q38" s="59"/>
      <c r="R38" s="59"/>
      <c r="S38" s="59"/>
      <c r="T38" s="59"/>
    </row>
    <row r="39" spans="16:20" x14ac:dyDescent="0.2">
      <c r="Q39" s="59"/>
      <c r="R39" s="59"/>
      <c r="S39" s="59"/>
      <c r="T39" s="59"/>
    </row>
    <row r="40" spans="16:20" x14ac:dyDescent="0.2">
      <c r="Q40" s="59"/>
      <c r="R40" s="59"/>
      <c r="S40" s="59"/>
      <c r="T40" s="59"/>
    </row>
    <row r="41" spans="16:20" x14ac:dyDescent="0.2">
      <c r="Q41" s="59"/>
      <c r="R41" s="59"/>
      <c r="S41" s="59"/>
      <c r="T41" s="59"/>
    </row>
    <row r="42" spans="16:20" x14ac:dyDescent="0.2">
      <c r="Q42" s="59"/>
      <c r="R42" s="59"/>
      <c r="S42" s="59"/>
      <c r="T42" s="59"/>
    </row>
    <row r="43" spans="16:20" x14ac:dyDescent="0.2">
      <c r="Q43" s="59"/>
      <c r="R43" s="59"/>
      <c r="S43" s="59"/>
      <c r="T43" s="59"/>
    </row>
    <row r="44" spans="16:20" x14ac:dyDescent="0.2">
      <c r="Q44" s="59"/>
      <c r="R44" s="59"/>
      <c r="S44" s="59"/>
      <c r="T44" s="59"/>
    </row>
    <row r="45" spans="16:20" x14ac:dyDescent="0.2">
      <c r="Q45" s="59"/>
      <c r="R45" s="59"/>
      <c r="S45" s="59"/>
      <c r="T45" s="59"/>
    </row>
  </sheetData>
  <mergeCells count="6">
    <mergeCell ref="K3:L3"/>
    <mergeCell ref="B3:B4"/>
    <mergeCell ref="C3:D3"/>
    <mergeCell ref="E3:F3"/>
    <mergeCell ref="G3:H3"/>
    <mergeCell ref="I3:J3"/>
  </mergeCells>
  <phoneticPr fontId="5" type="noConversion"/>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B1:AF20"/>
  <sheetViews>
    <sheetView view="pageBreakPreview" zoomScaleNormal="100" zoomScaleSheetLayoutView="100" workbookViewId="0">
      <selection activeCell="B1" sqref="B1"/>
    </sheetView>
  </sheetViews>
  <sheetFormatPr baseColWidth="10" defaultRowHeight="12.75" x14ac:dyDescent="0.2"/>
  <cols>
    <col min="1" max="1" width="2" style="86" customWidth="1"/>
    <col min="2" max="2" width="18.28515625" style="86" customWidth="1"/>
    <col min="3" max="4" width="12.7109375" style="86" customWidth="1"/>
    <col min="5" max="13" width="12.140625" style="86" customWidth="1"/>
    <col min="14" max="16384" width="11.42578125" style="86"/>
  </cols>
  <sheetData>
    <row r="1" spans="2:32" s="11" customFormat="1" ht="15.75" x14ac:dyDescent="0.2">
      <c r="B1" s="188" t="str">
        <f>Inhaltsverzeichnis!B26&amp;" "&amp;Inhaltsverzeichnis!C26&amp;" "&amp;Inhaltsverzeichnis!E26</f>
        <v>Tabelle 5: Verteilung der Pflichtigen nach Reineinkommens- und Reinvermögensstufen, 2014, in Promille</v>
      </c>
      <c r="C1" s="189"/>
      <c r="D1" s="189"/>
      <c r="E1" s="189"/>
      <c r="F1" s="189"/>
      <c r="G1" s="189"/>
      <c r="H1" s="189"/>
      <c r="I1" s="189"/>
      <c r="J1" s="189"/>
      <c r="K1" s="189"/>
      <c r="L1" s="189"/>
      <c r="M1" s="189"/>
      <c r="N1" s="189"/>
      <c r="O1" s="189"/>
      <c r="P1" s="189"/>
      <c r="Q1" s="189"/>
      <c r="R1" s="189"/>
      <c r="S1" s="189"/>
      <c r="T1" s="92"/>
      <c r="U1" s="92"/>
      <c r="V1" s="92"/>
      <c r="W1" s="92"/>
      <c r="X1" s="92"/>
      <c r="Y1" s="92"/>
      <c r="Z1" s="92"/>
      <c r="AA1" s="92"/>
      <c r="AB1" s="92"/>
      <c r="AC1" s="92"/>
      <c r="AD1" s="92"/>
      <c r="AE1" s="92"/>
      <c r="AF1" s="92"/>
    </row>
    <row r="3" spans="2:32" s="100" customFormat="1" x14ac:dyDescent="0.2">
      <c r="B3" s="278" t="s">
        <v>148</v>
      </c>
      <c r="C3" s="280" t="s">
        <v>534</v>
      </c>
      <c r="D3" s="289"/>
      <c r="E3" s="290"/>
      <c r="F3" s="290"/>
      <c r="G3" s="290"/>
      <c r="H3" s="290"/>
      <c r="I3" s="290"/>
      <c r="J3" s="290"/>
      <c r="K3" s="290"/>
      <c r="L3" s="290"/>
      <c r="M3" s="290"/>
      <c r="N3" s="291"/>
    </row>
    <row r="4" spans="2:32" s="100" customFormat="1" ht="27.75" customHeight="1" x14ac:dyDescent="0.2">
      <c r="B4" s="288"/>
      <c r="C4" s="96" t="s">
        <v>11</v>
      </c>
      <c r="D4" s="96" t="s">
        <v>159</v>
      </c>
      <c r="E4" s="93" t="s">
        <v>160</v>
      </c>
      <c r="F4" s="93" t="s">
        <v>161</v>
      </c>
      <c r="G4" s="93" t="s">
        <v>162</v>
      </c>
      <c r="H4" s="93" t="s">
        <v>163</v>
      </c>
      <c r="I4" s="93" t="s">
        <v>164</v>
      </c>
      <c r="J4" s="93" t="s">
        <v>165</v>
      </c>
      <c r="K4" s="93" t="s">
        <v>166</v>
      </c>
      <c r="L4" s="93" t="s">
        <v>18</v>
      </c>
      <c r="M4" s="93" t="s">
        <v>167</v>
      </c>
      <c r="N4" s="97" t="s">
        <v>0</v>
      </c>
    </row>
    <row r="5" spans="2:32" x14ac:dyDescent="0.2">
      <c r="B5" s="107">
        <v>0</v>
      </c>
      <c r="C5" s="34">
        <v>13.68425102</v>
      </c>
      <c r="D5" s="34">
        <v>18.828210439999999</v>
      </c>
      <c r="E5" s="34">
        <v>3.8442303569999998</v>
      </c>
      <c r="F5" s="34">
        <v>2.7423458869999999</v>
      </c>
      <c r="G5" s="34">
        <v>1.527799913</v>
      </c>
      <c r="H5" s="34">
        <v>0.79962189699999997</v>
      </c>
      <c r="I5" s="34">
        <v>0.45339385900000001</v>
      </c>
      <c r="J5" s="34">
        <v>0.23631437499999999</v>
      </c>
      <c r="K5" s="34">
        <v>0.52758558200000005</v>
      </c>
      <c r="L5" s="34">
        <v>4.6713307000000003E-2</v>
      </c>
      <c r="M5" s="34">
        <v>1.3739207999999999E-2</v>
      </c>
      <c r="N5" s="238">
        <v>42.704205850000001</v>
      </c>
    </row>
    <row r="6" spans="2:32" x14ac:dyDescent="0.2">
      <c r="B6" s="106" t="s">
        <v>155</v>
      </c>
      <c r="C6" s="34">
        <v>13.412214710000001</v>
      </c>
      <c r="D6" s="34">
        <v>33.182934799999998</v>
      </c>
      <c r="E6" s="34">
        <v>4.6520957789999997</v>
      </c>
      <c r="F6" s="34">
        <v>2.5390056109999999</v>
      </c>
      <c r="G6" s="34">
        <v>1.665191992</v>
      </c>
      <c r="H6" s="34">
        <v>0.89854419399999996</v>
      </c>
      <c r="I6" s="34">
        <v>0.48911579999999999</v>
      </c>
      <c r="J6" s="34">
        <v>0.252801424</v>
      </c>
      <c r="K6" s="34">
        <v>0.32424530499999998</v>
      </c>
      <c r="L6" s="34">
        <v>8.2435249999999998E-3</v>
      </c>
      <c r="M6" s="34">
        <v>2.7478419999999999E-3</v>
      </c>
      <c r="N6" s="238">
        <v>57.427140979999997</v>
      </c>
    </row>
    <row r="7" spans="2:32" x14ac:dyDescent="0.2">
      <c r="B7" s="98" t="s">
        <v>154</v>
      </c>
      <c r="C7" s="34">
        <v>11.582152219999999</v>
      </c>
      <c r="D7" s="34">
        <v>23.771577430000001</v>
      </c>
      <c r="E7" s="34">
        <v>5.2566209239999999</v>
      </c>
      <c r="F7" s="34">
        <v>3.9623875449999999</v>
      </c>
      <c r="G7" s="34">
        <v>3.264435786</v>
      </c>
      <c r="H7" s="34">
        <v>1.8630365849999999</v>
      </c>
      <c r="I7" s="34">
        <v>0.87381361899999999</v>
      </c>
      <c r="J7" s="34">
        <v>0.46713306700000001</v>
      </c>
      <c r="K7" s="34">
        <v>0.59078593800000001</v>
      </c>
      <c r="L7" s="34">
        <v>5.4956830000000003E-3</v>
      </c>
      <c r="M7" s="34">
        <v>0</v>
      </c>
      <c r="N7" s="238">
        <v>51.637438789999997</v>
      </c>
    </row>
    <row r="8" spans="2:32" x14ac:dyDescent="0.2">
      <c r="B8" s="98" t="s">
        <v>153</v>
      </c>
      <c r="C8" s="34">
        <v>13.634789870000001</v>
      </c>
      <c r="D8" s="34">
        <v>26.827177249999998</v>
      </c>
      <c r="E8" s="34">
        <v>7.4081808740000001</v>
      </c>
      <c r="F8" s="34">
        <v>7.0976747759999999</v>
      </c>
      <c r="G8" s="34">
        <v>8.6557009469999997</v>
      </c>
      <c r="H8" s="34">
        <v>6.1221910189999997</v>
      </c>
      <c r="I8" s="34">
        <v>2.4483268389999999</v>
      </c>
      <c r="J8" s="34">
        <v>0.99746648999999998</v>
      </c>
      <c r="K8" s="34">
        <v>1.0853974200000001</v>
      </c>
      <c r="L8" s="34">
        <v>1.0991366000000001E-2</v>
      </c>
      <c r="M8" s="34">
        <v>5.4956830000000003E-3</v>
      </c>
      <c r="N8" s="238">
        <v>74.293392539999999</v>
      </c>
    </row>
    <row r="9" spans="2:32" x14ac:dyDescent="0.2">
      <c r="B9" s="98" t="s">
        <v>152</v>
      </c>
      <c r="C9" s="34">
        <v>41.360511320000001</v>
      </c>
      <c r="D9" s="34">
        <v>66.874220300000005</v>
      </c>
      <c r="E9" s="34">
        <v>21.375459580000001</v>
      </c>
      <c r="F9" s="34">
        <v>21.67497431</v>
      </c>
      <c r="G9" s="34">
        <v>24.557460119999998</v>
      </c>
      <c r="H9" s="34">
        <v>20.144426549999999</v>
      </c>
      <c r="I9" s="34">
        <v>10.30715373</v>
      </c>
      <c r="J9" s="34">
        <v>5.1082374789999996</v>
      </c>
      <c r="K9" s="34">
        <v>5.5341529229999997</v>
      </c>
      <c r="L9" s="34">
        <v>3.8469782000000001E-2</v>
      </c>
      <c r="M9" s="34">
        <v>1.0991366000000001E-2</v>
      </c>
      <c r="N9" s="238">
        <v>216.98605749999999</v>
      </c>
    </row>
    <row r="10" spans="2:32" x14ac:dyDescent="0.2">
      <c r="B10" s="98" t="s">
        <v>151</v>
      </c>
      <c r="C10" s="34">
        <v>47.963574610000002</v>
      </c>
      <c r="D10" s="34">
        <v>49.969498960000003</v>
      </c>
      <c r="E10" s="34">
        <v>22.81258072</v>
      </c>
      <c r="F10" s="34">
        <v>26.82442941</v>
      </c>
      <c r="G10" s="34">
        <v>34.683256299999996</v>
      </c>
      <c r="H10" s="34">
        <v>24.738817659999999</v>
      </c>
      <c r="I10" s="34">
        <v>13.384736289999999</v>
      </c>
      <c r="J10" s="34">
        <v>7.41917224</v>
      </c>
      <c r="K10" s="34">
        <v>10.91167888</v>
      </c>
      <c r="L10" s="34">
        <v>0.10716582099999999</v>
      </c>
      <c r="M10" s="34">
        <v>1.0991366000000001E-2</v>
      </c>
      <c r="N10" s="238">
        <v>238.8259023</v>
      </c>
    </row>
    <row r="11" spans="2:32" x14ac:dyDescent="0.2">
      <c r="B11" s="98" t="s">
        <v>150</v>
      </c>
      <c r="C11" s="34">
        <v>31.635899999999999</v>
      </c>
      <c r="D11" s="34">
        <v>17.67961266</v>
      </c>
      <c r="E11" s="34">
        <v>10.56545084</v>
      </c>
      <c r="F11" s="34">
        <v>15.12412</v>
      </c>
      <c r="G11" s="34">
        <v>25.648353220000001</v>
      </c>
      <c r="H11" s="34">
        <v>19.039794239999999</v>
      </c>
      <c r="I11" s="34">
        <v>10.04885662</v>
      </c>
      <c r="J11" s="34">
        <v>5.9628162079999996</v>
      </c>
      <c r="K11" s="34">
        <v>10.14777892</v>
      </c>
      <c r="L11" s="34">
        <v>0.15937481100000001</v>
      </c>
      <c r="M11" s="34">
        <v>2.4730574000000002E-2</v>
      </c>
      <c r="N11" s="238">
        <v>146.0367881</v>
      </c>
    </row>
    <row r="12" spans="2:32" x14ac:dyDescent="0.2">
      <c r="B12" s="98" t="s">
        <v>149</v>
      </c>
      <c r="C12" s="34">
        <v>24.796522329999998</v>
      </c>
      <c r="D12" s="34">
        <v>7.7461653869999996</v>
      </c>
      <c r="E12" s="34">
        <v>6.2073741079999998</v>
      </c>
      <c r="F12" s="34">
        <v>10.254944739999999</v>
      </c>
      <c r="G12" s="34">
        <v>20.3257841</v>
      </c>
      <c r="H12" s="34">
        <v>17.78677849</v>
      </c>
      <c r="I12" s="34">
        <v>9.411357379</v>
      </c>
      <c r="J12" s="34">
        <v>5.6825363680000001</v>
      </c>
      <c r="K12" s="34">
        <v>13.11544782</v>
      </c>
      <c r="L12" s="34">
        <v>0.45064601799999998</v>
      </c>
      <c r="M12" s="34">
        <v>6.5948198E-2</v>
      </c>
      <c r="N12" s="238">
        <v>115.8435049</v>
      </c>
    </row>
    <row r="13" spans="2:32" x14ac:dyDescent="0.2">
      <c r="B13" s="98" t="s">
        <v>156</v>
      </c>
      <c r="C13" s="34">
        <v>7.6582344569999998</v>
      </c>
      <c r="D13" s="34">
        <v>1.055171163</v>
      </c>
      <c r="E13" s="34">
        <v>1.1293628849999999</v>
      </c>
      <c r="F13" s="34">
        <v>2.220255989</v>
      </c>
      <c r="G13" s="34">
        <v>6.0122773560000002</v>
      </c>
      <c r="H13" s="34">
        <v>6.5893240860000004</v>
      </c>
      <c r="I13" s="34">
        <v>4.4927209680000004</v>
      </c>
      <c r="J13" s="34">
        <v>2.931946956</v>
      </c>
      <c r="K13" s="34">
        <v>9.3014437159999996</v>
      </c>
      <c r="L13" s="34">
        <v>0.73642154100000001</v>
      </c>
      <c r="M13" s="34">
        <v>0.151131286</v>
      </c>
      <c r="N13" s="238">
        <v>42.278290400000003</v>
      </c>
    </row>
    <row r="14" spans="2:32" x14ac:dyDescent="0.2">
      <c r="B14" s="98" t="s">
        <v>157</v>
      </c>
      <c r="C14" s="34">
        <v>1.1705805090000001</v>
      </c>
      <c r="D14" s="34">
        <v>7.9687406000000002E-2</v>
      </c>
      <c r="E14" s="34">
        <v>0.131896395</v>
      </c>
      <c r="F14" s="34">
        <v>0.258297108</v>
      </c>
      <c r="G14" s="34">
        <v>0.79962189699999997</v>
      </c>
      <c r="H14" s="34">
        <v>1.198058925</v>
      </c>
      <c r="I14" s="34">
        <v>1.0606668459999999</v>
      </c>
      <c r="J14" s="34">
        <v>0.82435247099999998</v>
      </c>
      <c r="K14" s="34">
        <v>4.4487555030000001</v>
      </c>
      <c r="L14" s="34">
        <v>0.87656146099999999</v>
      </c>
      <c r="M14" s="34">
        <v>0.36821077000000002</v>
      </c>
      <c r="N14" s="238">
        <v>11.21668929</v>
      </c>
    </row>
    <row r="15" spans="2:32" x14ac:dyDescent="0.2">
      <c r="B15" s="98" t="s">
        <v>158</v>
      </c>
      <c r="C15" s="34">
        <v>0.10991366299999999</v>
      </c>
      <c r="D15" s="34">
        <v>8.2435249999999998E-3</v>
      </c>
      <c r="E15" s="34">
        <v>5.4956830000000003E-3</v>
      </c>
      <c r="F15" s="34">
        <v>1.0991366000000001E-2</v>
      </c>
      <c r="G15" s="34">
        <v>5.4956830999999998E-2</v>
      </c>
      <c r="H15" s="34">
        <v>8.7930930000000004E-2</v>
      </c>
      <c r="I15" s="34">
        <v>8.2435247000000003E-2</v>
      </c>
      <c r="J15" s="34">
        <v>8.7930930000000004E-2</v>
      </c>
      <c r="K15" s="34">
        <v>0.93976181700000005</v>
      </c>
      <c r="L15" s="34">
        <v>0.417671919</v>
      </c>
      <c r="M15" s="34">
        <v>0.34073235499999999</v>
      </c>
      <c r="N15" s="238">
        <v>2.1460642669999999</v>
      </c>
    </row>
    <row r="16" spans="2:32" x14ac:dyDescent="0.2">
      <c r="B16" s="108" t="s">
        <v>552</v>
      </c>
      <c r="C16" s="34">
        <v>1.0991366000000001E-2</v>
      </c>
      <c r="D16" s="34">
        <v>0</v>
      </c>
      <c r="E16" s="34">
        <v>0</v>
      </c>
      <c r="F16" s="34">
        <v>0</v>
      </c>
      <c r="G16" s="34">
        <v>0</v>
      </c>
      <c r="H16" s="34">
        <v>2.7478419999999999E-3</v>
      </c>
      <c r="I16" s="34">
        <v>2.7478419999999999E-3</v>
      </c>
      <c r="J16" s="34">
        <v>2.1982733000000001E-2</v>
      </c>
      <c r="K16" s="34">
        <v>0.123652871</v>
      </c>
      <c r="L16" s="34">
        <v>0.112661504</v>
      </c>
      <c r="M16" s="34">
        <v>0.32974098800000001</v>
      </c>
      <c r="N16" s="238">
        <v>0.60452514499999999</v>
      </c>
    </row>
    <row r="17" spans="2:14" x14ac:dyDescent="0.2">
      <c r="B17" s="58" t="s">
        <v>0</v>
      </c>
      <c r="C17" s="238">
        <v>207.01963610000001</v>
      </c>
      <c r="D17" s="238">
        <v>246.02249929999999</v>
      </c>
      <c r="E17" s="238">
        <v>83.388748140000004</v>
      </c>
      <c r="F17" s="238">
        <v>92.709426750000006</v>
      </c>
      <c r="G17" s="238">
        <v>127.1948385</v>
      </c>
      <c r="H17" s="238">
        <v>99.271272420000003</v>
      </c>
      <c r="I17" s="238">
        <v>53.05532504</v>
      </c>
      <c r="J17" s="238">
        <v>29.99269074</v>
      </c>
      <c r="K17" s="238">
        <v>57.050686689999999</v>
      </c>
      <c r="L17" s="238">
        <v>2.9704167379999999</v>
      </c>
      <c r="M17" s="238">
        <v>1.3244596369999999</v>
      </c>
      <c r="N17" s="38">
        <v>1000</v>
      </c>
    </row>
    <row r="20" spans="2:14" x14ac:dyDescent="0.2">
      <c r="B20" s="100"/>
    </row>
  </sheetData>
  <mergeCells count="2">
    <mergeCell ref="B3:B4"/>
    <mergeCell ref="C3:N3"/>
  </mergeCells>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6E51"/>
    <pageSetUpPr fitToPage="1"/>
  </sheetPr>
  <dimension ref="B1:Z39"/>
  <sheetViews>
    <sheetView view="pageBreakPreview" zoomScaleNormal="100" zoomScaleSheetLayoutView="100" workbookViewId="0">
      <selection activeCell="B1" sqref="B1"/>
    </sheetView>
  </sheetViews>
  <sheetFormatPr baseColWidth="10" defaultRowHeight="12.75" x14ac:dyDescent="0.2"/>
  <cols>
    <col min="1" max="1" width="2" style="1" customWidth="1"/>
    <col min="2" max="2" width="41.28515625" style="1" customWidth="1"/>
    <col min="3" max="8" width="12.7109375" style="1" customWidth="1"/>
    <col min="9" max="16384" width="11.42578125" style="1"/>
  </cols>
  <sheetData>
    <row r="1" spans="2:26" s="11" customFormat="1" ht="15.75" x14ac:dyDescent="0.2">
      <c r="B1" s="186" t="str">
        <f>Inhaltsverzeichnis!B29&amp;" "&amp;Inhaltsverzeichnis!C29&amp;" "&amp;Inhaltsverzeichnis!E29</f>
        <v>Tabelle 6: Zusammensetzung des Reineinkommens und des Reinvermögens nach Zivilstand, 2014, in Franken pro Pflichtigen</v>
      </c>
      <c r="C1" s="187"/>
      <c r="D1" s="187"/>
      <c r="E1" s="187"/>
      <c r="F1" s="187"/>
      <c r="G1" s="187"/>
      <c r="H1" s="187"/>
      <c r="I1" s="187"/>
      <c r="J1" s="187"/>
      <c r="K1" s="187"/>
      <c r="L1" s="187"/>
      <c r="M1" s="187"/>
      <c r="N1" s="187"/>
      <c r="O1" s="187"/>
      <c r="P1" s="187"/>
      <c r="Q1" s="187"/>
      <c r="R1" s="73"/>
      <c r="S1" s="73"/>
      <c r="T1" s="73"/>
      <c r="U1" s="73"/>
      <c r="V1" s="73"/>
      <c r="W1" s="73"/>
      <c r="X1" s="73"/>
      <c r="Y1" s="73"/>
      <c r="Z1" s="73"/>
    </row>
    <row r="3" spans="2:26" s="45" customFormat="1" ht="29.25" customHeight="1" x14ac:dyDescent="0.2">
      <c r="B3" s="78" t="s">
        <v>565</v>
      </c>
      <c r="C3" s="47" t="s">
        <v>63</v>
      </c>
      <c r="D3" s="47" t="s">
        <v>67</v>
      </c>
      <c r="E3" s="47" t="s">
        <v>65</v>
      </c>
      <c r="F3" s="47" t="s">
        <v>66</v>
      </c>
      <c r="G3" s="46" t="s">
        <v>68</v>
      </c>
      <c r="H3" s="47" t="s">
        <v>0</v>
      </c>
    </row>
    <row r="4" spans="2:26" s="45" customFormat="1" ht="14.25" x14ac:dyDescent="0.2">
      <c r="B4" s="234" t="s">
        <v>421</v>
      </c>
      <c r="C4" s="101">
        <v>140626.77799999999</v>
      </c>
      <c r="D4" s="101">
        <v>137739.52230000001</v>
      </c>
      <c r="E4" s="101">
        <v>27691.4692</v>
      </c>
      <c r="F4" s="101">
        <v>49416.499499999998</v>
      </c>
      <c r="G4" s="101">
        <v>8448.5175999999992</v>
      </c>
      <c r="H4" s="101">
        <v>363922.78649999999</v>
      </c>
      <c r="J4" s="160"/>
    </row>
    <row r="5" spans="2:26" x14ac:dyDescent="0.2">
      <c r="B5" s="293" t="s">
        <v>563</v>
      </c>
      <c r="C5" s="294"/>
      <c r="D5" s="294"/>
      <c r="E5" s="294"/>
      <c r="F5" s="294"/>
      <c r="G5" s="294"/>
      <c r="H5" s="295"/>
      <c r="I5" s="99"/>
      <c r="J5" s="99"/>
      <c r="K5" s="99"/>
      <c r="L5" s="99"/>
    </row>
    <row r="6" spans="2:26" x14ac:dyDescent="0.2">
      <c r="B6" s="239" t="s">
        <v>69</v>
      </c>
      <c r="C6" s="35">
        <v>44135.195299999999</v>
      </c>
      <c r="D6" s="35">
        <v>65142.368600000002</v>
      </c>
      <c r="E6" s="35">
        <v>6303.5904</v>
      </c>
      <c r="F6" s="35">
        <v>45937.150199999996</v>
      </c>
      <c r="G6" s="35">
        <v>46671.974300000002</v>
      </c>
      <c r="H6" s="35">
        <v>49511.015899999999</v>
      </c>
    </row>
    <row r="7" spans="2:26" x14ac:dyDescent="0.2">
      <c r="B7" s="239" t="s">
        <v>70</v>
      </c>
      <c r="C7" s="35">
        <v>0</v>
      </c>
      <c r="D7" s="35">
        <v>22838.1492</v>
      </c>
      <c r="E7" s="35">
        <v>0</v>
      </c>
      <c r="F7" s="35">
        <v>0</v>
      </c>
      <c r="G7" s="35">
        <v>0</v>
      </c>
      <c r="H7" s="35">
        <v>8643.9099000000006</v>
      </c>
    </row>
    <row r="8" spans="2:26" x14ac:dyDescent="0.2">
      <c r="B8" s="239" t="s">
        <v>71</v>
      </c>
      <c r="C8" s="35">
        <v>1622.9280000000001</v>
      </c>
      <c r="D8" s="35">
        <v>5546.3068000000003</v>
      </c>
      <c r="E8" s="35">
        <v>747.45090000000005</v>
      </c>
      <c r="F8" s="35">
        <v>3744.8537999999999</v>
      </c>
      <c r="G8" s="35">
        <v>4242.8582999999999</v>
      </c>
      <c r="H8" s="35">
        <v>3390.2087999999999</v>
      </c>
    </row>
    <row r="9" spans="2:26" x14ac:dyDescent="0.2">
      <c r="B9" s="239" t="s">
        <v>72</v>
      </c>
      <c r="C9" s="35">
        <v>0</v>
      </c>
      <c r="D9" s="35">
        <v>1249.5893000000001</v>
      </c>
      <c r="E9" s="35">
        <v>0</v>
      </c>
      <c r="F9" s="35">
        <v>0</v>
      </c>
      <c r="G9" s="35">
        <v>0</v>
      </c>
      <c r="H9" s="35">
        <v>472.95150000000001</v>
      </c>
    </row>
    <row r="10" spans="2:26" x14ac:dyDescent="0.2">
      <c r="B10" s="240" t="s">
        <v>630</v>
      </c>
      <c r="C10" s="35">
        <v>3781.8598999999999</v>
      </c>
      <c r="D10" s="35">
        <v>14596.5244</v>
      </c>
      <c r="E10" s="35">
        <v>37701.8485</v>
      </c>
      <c r="F10" s="35">
        <v>11303.095499999999</v>
      </c>
      <c r="G10" s="35">
        <v>9892.5478999999996</v>
      </c>
      <c r="H10" s="35">
        <v>11619.2379</v>
      </c>
    </row>
    <row r="11" spans="2:26" x14ac:dyDescent="0.2">
      <c r="B11" s="240" t="s">
        <v>419</v>
      </c>
      <c r="C11" s="35">
        <v>0</v>
      </c>
      <c r="D11" s="35">
        <v>6184.9853000000003</v>
      </c>
      <c r="E11" s="35">
        <v>0</v>
      </c>
      <c r="F11" s="35">
        <v>0</v>
      </c>
      <c r="G11" s="35">
        <v>0</v>
      </c>
      <c r="H11" s="35">
        <v>2340.9277000000002</v>
      </c>
    </row>
    <row r="12" spans="2:26" x14ac:dyDescent="0.2">
      <c r="B12" s="240" t="s">
        <v>603</v>
      </c>
      <c r="C12" s="35">
        <v>908.7328</v>
      </c>
      <c r="D12" s="35">
        <v>5875.5788000000002</v>
      </c>
      <c r="E12" s="35">
        <v>4118.1049000000003</v>
      </c>
      <c r="F12" s="35">
        <v>2168.5124999999998</v>
      </c>
      <c r="G12" s="35">
        <v>2920.97</v>
      </c>
      <c r="H12" s="35">
        <v>3250.5965000000001</v>
      </c>
    </row>
    <row r="13" spans="2:26" x14ac:dyDescent="0.2">
      <c r="B13" s="240" t="s">
        <v>74</v>
      </c>
      <c r="C13" s="35">
        <v>1215.2292</v>
      </c>
      <c r="D13" s="35">
        <v>8954.1471000000001</v>
      </c>
      <c r="E13" s="35">
        <v>7719.4639999999999</v>
      </c>
      <c r="F13" s="35">
        <v>4328.4418999999998</v>
      </c>
      <c r="G13" s="35">
        <v>4645.8370000000004</v>
      </c>
      <c r="H13" s="35">
        <v>5141.5958000000001</v>
      </c>
    </row>
    <row r="14" spans="2:26" x14ac:dyDescent="0.2">
      <c r="B14" s="240" t="s">
        <v>75</v>
      </c>
      <c r="C14" s="35">
        <v>187.74870000000001</v>
      </c>
      <c r="D14" s="35">
        <v>313.4436</v>
      </c>
      <c r="E14" s="35">
        <v>156.82849999999999</v>
      </c>
      <c r="F14" s="35">
        <v>3635.2615000000001</v>
      </c>
      <c r="G14" s="35">
        <v>7875.0781999999999</v>
      </c>
      <c r="H14" s="35">
        <v>879.56439999999998</v>
      </c>
    </row>
    <row r="15" spans="2:26" ht="14.25" x14ac:dyDescent="0.2">
      <c r="B15" s="230" t="s">
        <v>424</v>
      </c>
      <c r="C15" s="31">
        <v>51902.44</v>
      </c>
      <c r="D15" s="31">
        <v>130816.98</v>
      </c>
      <c r="E15" s="31">
        <v>56802.75</v>
      </c>
      <c r="F15" s="31">
        <v>71191.08</v>
      </c>
      <c r="G15" s="31">
        <v>76333.2</v>
      </c>
      <c r="H15" s="31">
        <v>85329.66</v>
      </c>
    </row>
    <row r="16" spans="2:26" x14ac:dyDescent="0.2">
      <c r="B16" s="296" t="s">
        <v>599</v>
      </c>
      <c r="C16" s="297"/>
      <c r="D16" s="297"/>
      <c r="E16" s="297"/>
      <c r="F16" s="297"/>
      <c r="G16" s="297"/>
      <c r="H16" s="297"/>
    </row>
    <row r="17" spans="2:23" x14ac:dyDescent="0.2">
      <c r="B17" s="240" t="s">
        <v>78</v>
      </c>
      <c r="C17" s="35">
        <v>5827.2205000000004</v>
      </c>
      <c r="D17" s="35">
        <v>8254.2518999999993</v>
      </c>
      <c r="E17" s="35">
        <v>700.12559999999996</v>
      </c>
      <c r="F17" s="35">
        <v>4666.7768999999998</v>
      </c>
      <c r="G17" s="35">
        <v>4475.4827999999998</v>
      </c>
      <c r="H17" s="35">
        <v>6166.7323999999999</v>
      </c>
    </row>
    <row r="18" spans="2:23" x14ac:dyDescent="0.2">
      <c r="B18" s="240" t="s">
        <v>79</v>
      </c>
      <c r="C18" s="35">
        <v>1011.2672</v>
      </c>
      <c r="D18" s="35">
        <v>6892.7605999999996</v>
      </c>
      <c r="E18" s="35">
        <v>2566.7555000000002</v>
      </c>
      <c r="F18" s="35">
        <v>3288.9409000000001</v>
      </c>
      <c r="G18" s="35">
        <v>3271.3780999999999</v>
      </c>
      <c r="H18" s="35">
        <v>3717.4376000000002</v>
      </c>
    </row>
    <row r="19" spans="2:23" x14ac:dyDescent="0.2">
      <c r="B19" s="240" t="s">
        <v>80</v>
      </c>
      <c r="C19" s="35">
        <v>1904.3731</v>
      </c>
      <c r="D19" s="35">
        <v>6319.9525000000003</v>
      </c>
      <c r="E19" s="35">
        <v>572.65620000000001</v>
      </c>
      <c r="F19" s="35">
        <v>2889.6994</v>
      </c>
      <c r="G19" s="35">
        <v>1975.8496</v>
      </c>
      <c r="H19" s="35">
        <v>3609.7289000000001</v>
      </c>
    </row>
    <row r="20" spans="2:23" x14ac:dyDescent="0.2">
      <c r="B20" s="240" t="s">
        <v>81</v>
      </c>
      <c r="C20" s="35">
        <v>1999.8978999999999</v>
      </c>
      <c r="D20" s="35">
        <v>3994.6282999999999</v>
      </c>
      <c r="E20" s="35">
        <v>1999.9867999999999</v>
      </c>
      <c r="F20" s="35">
        <v>1999.9086</v>
      </c>
      <c r="G20" s="35">
        <v>2169.0954999999999</v>
      </c>
      <c r="H20" s="35">
        <v>2758.8107</v>
      </c>
      <c r="J20" s="159"/>
    </row>
    <row r="21" spans="2:23" x14ac:dyDescent="0.2">
      <c r="B21" s="240" t="s">
        <v>82</v>
      </c>
      <c r="C21" s="35">
        <v>873.85130000000004</v>
      </c>
      <c r="D21" s="35">
        <v>2351.3139000000001</v>
      </c>
      <c r="E21" s="35">
        <v>4509.8693000000003</v>
      </c>
      <c r="F21" s="35">
        <v>4094.8537999999999</v>
      </c>
      <c r="G21" s="35">
        <v>6981.4883</v>
      </c>
      <c r="H21" s="35">
        <v>2288.8845000000001</v>
      </c>
    </row>
    <row r="22" spans="2:23" s="76" customFormat="1" x14ac:dyDescent="0.2">
      <c r="B22" s="230" t="s">
        <v>87</v>
      </c>
      <c r="C22" s="31">
        <v>11616.61</v>
      </c>
      <c r="D22" s="31">
        <v>27812.907200000001</v>
      </c>
      <c r="E22" s="31">
        <v>10349.3933</v>
      </c>
      <c r="F22" s="31">
        <v>16940.179599999999</v>
      </c>
      <c r="G22" s="31">
        <v>18873.2942</v>
      </c>
      <c r="H22" s="31">
        <v>18541.5942</v>
      </c>
    </row>
    <row r="23" spans="2:23" x14ac:dyDescent="0.2">
      <c r="B23" s="296" t="s">
        <v>30</v>
      </c>
      <c r="C23" s="297"/>
      <c r="D23" s="297"/>
      <c r="E23" s="297"/>
      <c r="F23" s="297"/>
      <c r="G23" s="297"/>
      <c r="H23" s="297"/>
    </row>
    <row r="24" spans="2:23" ht="14.25" x14ac:dyDescent="0.2">
      <c r="B24" s="230" t="s">
        <v>423</v>
      </c>
      <c r="C24" s="31">
        <v>40548.620000000003</v>
      </c>
      <c r="D24" s="31">
        <v>103126.26</v>
      </c>
      <c r="E24" s="31">
        <v>47201.09</v>
      </c>
      <c r="F24" s="31">
        <v>54480</v>
      </c>
      <c r="G24" s="31">
        <v>57702.76</v>
      </c>
      <c r="H24" s="31">
        <v>67029.509999999995</v>
      </c>
    </row>
    <row r="25" spans="2:23" x14ac:dyDescent="0.2">
      <c r="B25" s="296" t="s">
        <v>564</v>
      </c>
      <c r="C25" s="297"/>
      <c r="D25" s="297"/>
      <c r="E25" s="297"/>
      <c r="F25" s="297"/>
      <c r="G25" s="297"/>
      <c r="H25" s="297"/>
    </row>
    <row r="26" spans="2:23" x14ac:dyDescent="0.2">
      <c r="B26" s="240" t="s">
        <v>83</v>
      </c>
      <c r="C26" s="35">
        <v>80865.403200000001</v>
      </c>
      <c r="D26" s="35">
        <v>331659.6972</v>
      </c>
      <c r="E26" s="35">
        <v>408059.6347</v>
      </c>
      <c r="F26" s="35">
        <v>129866.0379</v>
      </c>
      <c r="G26" s="35">
        <v>135180.5295</v>
      </c>
      <c r="H26" s="35">
        <v>208598.8101</v>
      </c>
    </row>
    <row r="27" spans="2:23" x14ac:dyDescent="0.2">
      <c r="B27" s="240" t="s">
        <v>631</v>
      </c>
      <c r="C27" s="35">
        <v>2698.4717999999998</v>
      </c>
      <c r="D27" s="35">
        <v>14404.219300000001</v>
      </c>
      <c r="E27" s="35">
        <v>9475.8263999999999</v>
      </c>
      <c r="F27" s="35">
        <v>6178.1502</v>
      </c>
      <c r="G27" s="35">
        <v>5518.4976999999999</v>
      </c>
      <c r="H27" s="35">
        <v>8182.5954000000002</v>
      </c>
    </row>
    <row r="28" spans="2:23" x14ac:dyDescent="0.2">
      <c r="B28" s="240" t="s">
        <v>84</v>
      </c>
      <c r="C28" s="35">
        <v>56908.482499999998</v>
      </c>
      <c r="D28" s="35">
        <v>419121.60139999999</v>
      </c>
      <c r="E28" s="35">
        <v>289799.6471</v>
      </c>
      <c r="F28" s="35">
        <v>178848.44260000001</v>
      </c>
      <c r="G28" s="35">
        <v>174586.40090000001</v>
      </c>
      <c r="H28" s="35">
        <v>231011.92629999999</v>
      </c>
    </row>
    <row r="29" spans="2:23" x14ac:dyDescent="0.2">
      <c r="B29" s="240" t="s">
        <v>624</v>
      </c>
      <c r="C29" s="35">
        <v>5420.2452999999996</v>
      </c>
      <c r="D29" s="35">
        <v>27908.2696</v>
      </c>
      <c r="E29" s="35">
        <v>8249.4604999999992</v>
      </c>
      <c r="F29" s="35">
        <v>9717.2131000000008</v>
      </c>
      <c r="G29" s="35">
        <v>9494.4735000000001</v>
      </c>
      <c r="H29" s="35">
        <v>14824.9797</v>
      </c>
      <c r="M29" s="292"/>
      <c r="N29" s="292"/>
      <c r="O29" s="292"/>
      <c r="P29" s="292"/>
      <c r="Q29" s="292"/>
      <c r="R29" s="292"/>
      <c r="S29" s="292"/>
      <c r="T29" s="292"/>
      <c r="U29" s="292"/>
      <c r="V29" s="292"/>
      <c r="W29" s="292"/>
    </row>
    <row r="30" spans="2:23" x14ac:dyDescent="0.2">
      <c r="B30" s="240" t="s">
        <v>85</v>
      </c>
      <c r="C30" s="35">
        <v>3678.3069</v>
      </c>
      <c r="D30" s="35">
        <v>13661.629300000001</v>
      </c>
      <c r="E30" s="35">
        <v>7040.8401999999996</v>
      </c>
      <c r="F30" s="35">
        <v>6721.2443000000003</v>
      </c>
      <c r="G30" s="35">
        <v>11412.460999999999</v>
      </c>
      <c r="H30" s="35">
        <v>8305.4560000000001</v>
      </c>
    </row>
    <row r="31" spans="2:23" ht="14.25" x14ac:dyDescent="0.2">
      <c r="B31" s="230" t="s">
        <v>422</v>
      </c>
      <c r="C31" s="31">
        <v>149604.22</v>
      </c>
      <c r="D31" s="31">
        <v>806801.01</v>
      </c>
      <c r="E31" s="31">
        <v>722637.75</v>
      </c>
      <c r="F31" s="31">
        <v>331344.52</v>
      </c>
      <c r="G31" s="31">
        <v>336233.95</v>
      </c>
      <c r="H31" s="31">
        <v>470957.63</v>
      </c>
      <c r="I31" s="42"/>
      <c r="J31" s="42"/>
      <c r="L31" s="48"/>
      <c r="M31" s="48"/>
      <c r="N31" s="48"/>
      <c r="O31" s="48"/>
      <c r="P31" s="48"/>
      <c r="Q31" s="48"/>
      <c r="R31" s="48"/>
      <c r="S31" s="48"/>
      <c r="T31" s="48"/>
      <c r="U31" s="48"/>
      <c r="V31" s="48"/>
      <c r="W31" s="48"/>
    </row>
    <row r="32" spans="2:23" x14ac:dyDescent="0.2">
      <c r="B32" s="296" t="s">
        <v>86</v>
      </c>
      <c r="C32" s="297"/>
      <c r="D32" s="297"/>
      <c r="E32" s="297"/>
      <c r="F32" s="297"/>
      <c r="G32" s="297"/>
      <c r="H32" s="297"/>
      <c r="I32" s="42"/>
      <c r="J32" s="42"/>
      <c r="L32" s="48"/>
      <c r="M32" s="48"/>
      <c r="N32" s="48"/>
      <c r="O32" s="48"/>
      <c r="P32" s="48"/>
      <c r="Q32" s="48"/>
      <c r="R32" s="48"/>
      <c r="S32" s="48"/>
      <c r="T32" s="48"/>
      <c r="U32" s="48"/>
      <c r="V32" s="48"/>
      <c r="W32" s="48"/>
    </row>
    <row r="33" spans="2:23" x14ac:dyDescent="0.2">
      <c r="B33" s="230" t="s">
        <v>86</v>
      </c>
      <c r="C33" s="31">
        <v>54289.22</v>
      </c>
      <c r="D33" s="31">
        <v>366382.38</v>
      </c>
      <c r="E33" s="31">
        <v>133541.59</v>
      </c>
      <c r="F33" s="31">
        <v>170277.68</v>
      </c>
      <c r="G33" s="31">
        <v>170805.28</v>
      </c>
      <c r="H33" s="31">
        <v>196897.24</v>
      </c>
      <c r="I33" s="42"/>
      <c r="J33" s="42"/>
      <c r="L33" s="48"/>
      <c r="M33" s="48"/>
      <c r="N33" s="48"/>
      <c r="O33" s="48"/>
      <c r="P33" s="48"/>
      <c r="Q33" s="48"/>
      <c r="R33" s="48"/>
      <c r="S33" s="48"/>
      <c r="T33" s="48"/>
      <c r="U33" s="48"/>
      <c r="V33" s="48"/>
      <c r="W33" s="48"/>
    </row>
    <row r="34" spans="2:23" x14ac:dyDescent="0.2">
      <c r="B34" s="296" t="s">
        <v>32</v>
      </c>
      <c r="C34" s="297"/>
      <c r="D34" s="297"/>
      <c r="E34" s="297"/>
      <c r="F34" s="297"/>
      <c r="G34" s="297"/>
      <c r="H34" s="297"/>
      <c r="I34" s="42"/>
      <c r="J34" s="42"/>
      <c r="L34" s="48"/>
      <c r="M34" s="48"/>
      <c r="N34" s="48"/>
      <c r="O34" s="48"/>
      <c r="P34" s="48"/>
      <c r="Q34" s="48"/>
      <c r="R34" s="48"/>
      <c r="S34" s="48"/>
      <c r="T34" s="48"/>
      <c r="U34" s="48"/>
      <c r="V34" s="48"/>
      <c r="W34" s="48"/>
    </row>
    <row r="35" spans="2:23" ht="14.25" x14ac:dyDescent="0.2">
      <c r="B35" s="230" t="s">
        <v>426</v>
      </c>
      <c r="C35" s="31">
        <v>100021.82</v>
      </c>
      <c r="D35" s="31">
        <v>460262.56</v>
      </c>
      <c r="E35" s="31">
        <v>591121.32999999996</v>
      </c>
      <c r="F35" s="31">
        <v>173696.93</v>
      </c>
      <c r="G35" s="31">
        <v>186153.1</v>
      </c>
      <c r="H35" s="31">
        <v>285740.07</v>
      </c>
      <c r="I35" s="42"/>
      <c r="J35" s="42"/>
      <c r="L35" s="48"/>
      <c r="M35" s="48"/>
      <c r="N35" s="48"/>
      <c r="O35" s="48"/>
      <c r="P35" s="48"/>
      <c r="Q35" s="48"/>
      <c r="R35" s="48"/>
      <c r="S35" s="48"/>
      <c r="T35" s="48"/>
      <c r="U35" s="48"/>
      <c r="V35" s="48"/>
      <c r="W35" s="48"/>
    </row>
    <row r="36" spans="2:23" x14ac:dyDescent="0.2">
      <c r="I36" s="42"/>
      <c r="J36" s="42"/>
      <c r="L36" s="48"/>
      <c r="M36" s="48"/>
      <c r="N36" s="48"/>
      <c r="O36" s="48"/>
      <c r="P36" s="48"/>
      <c r="Q36" s="48"/>
      <c r="R36" s="48"/>
      <c r="S36" s="48"/>
      <c r="T36" s="48"/>
      <c r="U36" s="48"/>
      <c r="V36" s="48"/>
      <c r="W36" s="48"/>
    </row>
    <row r="37" spans="2:23" s="114" customFormat="1" x14ac:dyDescent="0.2">
      <c r="B37" s="300" t="s">
        <v>33</v>
      </c>
      <c r="C37" s="292"/>
      <c r="D37" s="292"/>
      <c r="E37" s="292"/>
      <c r="F37" s="292"/>
      <c r="G37" s="292"/>
      <c r="H37" s="292"/>
      <c r="L37" s="48"/>
      <c r="M37" s="48"/>
      <c r="N37" s="48"/>
      <c r="O37" s="48"/>
      <c r="P37" s="48"/>
      <c r="Q37" s="48"/>
      <c r="R37" s="48"/>
      <c r="S37" s="48"/>
      <c r="T37" s="48"/>
      <c r="U37" s="48"/>
      <c r="V37" s="48"/>
      <c r="W37" s="48"/>
    </row>
    <row r="38" spans="2:23" ht="39.75" customHeight="1" x14ac:dyDescent="0.2">
      <c r="B38" s="298" t="s">
        <v>632</v>
      </c>
      <c r="C38" s="299"/>
      <c r="D38" s="299"/>
      <c r="E38" s="299"/>
      <c r="F38" s="299"/>
      <c r="G38" s="299"/>
      <c r="H38" s="299"/>
      <c r="I38" s="42"/>
      <c r="J38" s="42"/>
    </row>
    <row r="39" spans="2:23" x14ac:dyDescent="0.2">
      <c r="I39" s="42"/>
      <c r="J39" s="42"/>
    </row>
  </sheetData>
  <mergeCells count="10">
    <mergeCell ref="B32:H32"/>
    <mergeCell ref="B34:H34"/>
    <mergeCell ref="B38:H38"/>
    <mergeCell ref="M29:S29"/>
    <mergeCell ref="B37:H37"/>
    <mergeCell ref="T29:W29"/>
    <mergeCell ref="B5:H5"/>
    <mergeCell ref="B16:H16"/>
    <mergeCell ref="B23:H23"/>
    <mergeCell ref="B25:H25"/>
  </mergeCells>
  <pageMargins left="0.78740157480314965" right="0.78740157480314965" top="0.98425196850393704" bottom="0.98425196850393704" header="0.51181102362204722" footer="0.51181102362204722"/>
  <pageSetup paperSize="9" scale="86" orientation="landscape" r:id="rId1"/>
  <headerFooter alignWithMargins="0"/>
  <rowBreaks count="1" manualBreakCount="1">
    <brk id="48"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6E51"/>
  </sheetPr>
  <dimension ref="B1:Z107"/>
  <sheetViews>
    <sheetView view="pageBreakPreview" zoomScaleNormal="100" zoomScaleSheetLayoutView="100" workbookViewId="0">
      <selection activeCell="B1" sqref="B1"/>
    </sheetView>
  </sheetViews>
  <sheetFormatPr baseColWidth="10" defaultRowHeight="12.75" x14ac:dyDescent="0.2"/>
  <cols>
    <col min="1" max="1" width="2" style="76" customWidth="1"/>
    <col min="2" max="2" width="41.28515625" style="76" customWidth="1"/>
    <col min="3" max="8" width="12.7109375" style="76" customWidth="1"/>
    <col min="9" max="9" width="13.28515625" style="76" bestFit="1" customWidth="1"/>
    <col min="10" max="14" width="11.42578125" style="76"/>
    <col min="15" max="15" width="40.7109375" style="76" bestFit="1" customWidth="1"/>
    <col min="16" max="16" width="18.28515625" style="76" customWidth="1"/>
    <col min="17" max="16384" width="11.42578125" style="76"/>
  </cols>
  <sheetData>
    <row r="1" spans="2:26" s="11" customFormat="1" ht="15.75" x14ac:dyDescent="0.2">
      <c r="B1" s="186" t="str">
        <f>Inhaltsverzeichnis!B30&amp;" "&amp;Inhaltsverzeichnis!C30&amp;" "&amp;Inhaltsverzeichnis!E30</f>
        <v>Tabelle 7: Zusammensetzung des Reineinkommens und des Reinvermögens nach Altersklassen, 2014, in Franken pro Pflichtigen</v>
      </c>
      <c r="C1" s="187"/>
      <c r="D1" s="187"/>
      <c r="E1" s="187"/>
      <c r="F1" s="187"/>
      <c r="G1" s="187"/>
      <c r="H1" s="187"/>
      <c r="I1" s="187"/>
      <c r="J1" s="187"/>
      <c r="K1" s="187"/>
      <c r="L1" s="187"/>
      <c r="M1" s="187"/>
      <c r="N1" s="187"/>
      <c r="O1" s="187"/>
      <c r="P1" s="187"/>
      <c r="Q1" s="187"/>
      <c r="R1" s="73"/>
      <c r="S1" s="73"/>
      <c r="T1" s="73"/>
      <c r="U1" s="73"/>
      <c r="V1" s="73"/>
      <c r="W1" s="73"/>
      <c r="X1" s="73"/>
      <c r="Y1" s="73"/>
      <c r="Z1" s="73"/>
    </row>
    <row r="3" spans="2:26" s="45" customFormat="1" ht="29.25" customHeight="1" x14ac:dyDescent="0.2">
      <c r="B3" s="78" t="s">
        <v>565</v>
      </c>
      <c r="C3" s="102" t="s">
        <v>88</v>
      </c>
      <c r="D3" s="47" t="s">
        <v>89</v>
      </c>
      <c r="E3" s="47" t="s">
        <v>90</v>
      </c>
      <c r="F3" s="47" t="s">
        <v>91</v>
      </c>
      <c r="G3" s="91" t="s">
        <v>92</v>
      </c>
      <c r="H3" s="47" t="s">
        <v>0</v>
      </c>
    </row>
    <row r="4" spans="2:26" s="45" customFormat="1" ht="14.25" x14ac:dyDescent="0.2">
      <c r="B4" s="234" t="s">
        <v>421</v>
      </c>
      <c r="C4" s="101">
        <v>13182.07653</v>
      </c>
      <c r="D4" s="101">
        <v>94180.849239999996</v>
      </c>
      <c r="E4" s="101">
        <v>89749.282739999995</v>
      </c>
      <c r="F4" s="101">
        <v>89666.227979999996</v>
      </c>
      <c r="G4" s="101">
        <v>77144.350009999995</v>
      </c>
      <c r="H4" s="101">
        <v>363922.78649999999</v>
      </c>
      <c r="I4" s="160"/>
    </row>
    <row r="5" spans="2:26" x14ac:dyDescent="0.2">
      <c r="B5" s="293" t="s">
        <v>563</v>
      </c>
      <c r="C5" s="294"/>
      <c r="D5" s="294"/>
      <c r="E5" s="294"/>
      <c r="F5" s="294"/>
      <c r="G5" s="294"/>
      <c r="H5" s="295"/>
      <c r="I5" s="99"/>
      <c r="J5" s="99"/>
      <c r="K5" s="99"/>
      <c r="L5" s="99"/>
    </row>
    <row r="6" spans="2:26" x14ac:dyDescent="0.2">
      <c r="B6" s="239" t="s">
        <v>69</v>
      </c>
      <c r="C6" s="35">
        <v>10621.866099999999</v>
      </c>
      <c r="D6" s="35">
        <v>46422.651599999997</v>
      </c>
      <c r="E6" s="35">
        <v>77731.814700000003</v>
      </c>
      <c r="F6" s="35">
        <v>69015.692299999995</v>
      </c>
      <c r="G6" s="35">
        <v>4424.076</v>
      </c>
      <c r="H6" s="35">
        <v>49511.015899999999</v>
      </c>
    </row>
    <row r="7" spans="2:26" x14ac:dyDescent="0.2">
      <c r="B7" s="239" t="s">
        <v>70</v>
      </c>
      <c r="C7" s="35">
        <v>7.6635</v>
      </c>
      <c r="D7" s="35">
        <v>4227.2858999999999</v>
      </c>
      <c r="E7" s="35">
        <v>13741.2626</v>
      </c>
      <c r="F7" s="35">
        <v>14427.5947</v>
      </c>
      <c r="G7" s="35">
        <v>2858.9119000000001</v>
      </c>
      <c r="H7" s="35">
        <v>8643.9099000000006</v>
      </c>
    </row>
    <row r="8" spans="2:26" x14ac:dyDescent="0.2">
      <c r="B8" s="239" t="s">
        <v>71</v>
      </c>
      <c r="C8" s="35">
        <v>35.944499999999998</v>
      </c>
      <c r="D8" s="35">
        <v>862.17070000000001</v>
      </c>
      <c r="E8" s="35">
        <v>4362.1731</v>
      </c>
      <c r="F8" s="35">
        <v>6974.5010000000002</v>
      </c>
      <c r="G8" s="35">
        <v>1752.8352</v>
      </c>
      <c r="H8" s="35">
        <v>3390.2087999999999</v>
      </c>
    </row>
    <row r="9" spans="2:26" x14ac:dyDescent="0.2">
      <c r="B9" s="239" t="s">
        <v>72</v>
      </c>
      <c r="C9" s="35">
        <v>0</v>
      </c>
      <c r="D9" s="35">
        <v>63.936500000000002</v>
      </c>
      <c r="E9" s="35">
        <v>628.94989999999996</v>
      </c>
      <c r="F9" s="35">
        <v>934.69719999999995</v>
      </c>
      <c r="G9" s="35">
        <v>334.92619999999999</v>
      </c>
      <c r="H9" s="35">
        <v>472.95150000000001</v>
      </c>
    </row>
    <row r="10" spans="2:26" x14ac:dyDescent="0.2">
      <c r="B10" s="240" t="s">
        <v>630</v>
      </c>
      <c r="C10" s="35">
        <v>603.42070000000001</v>
      </c>
      <c r="D10" s="35">
        <v>1649.0473</v>
      </c>
      <c r="E10" s="35">
        <v>2753.0877999999998</v>
      </c>
      <c r="F10" s="35">
        <v>7969.1072000000004</v>
      </c>
      <c r="G10" s="35">
        <v>40231.008199999997</v>
      </c>
      <c r="H10" s="35">
        <v>11619.2379</v>
      </c>
    </row>
    <row r="11" spans="2:26" x14ac:dyDescent="0.2">
      <c r="B11" s="240" t="s">
        <v>419</v>
      </c>
      <c r="C11" s="35">
        <v>0</v>
      </c>
      <c r="D11" s="35">
        <v>200.7978</v>
      </c>
      <c r="E11" s="35">
        <v>509.39120000000003</v>
      </c>
      <c r="F11" s="35">
        <v>1282.7656999999999</v>
      </c>
      <c r="G11" s="35">
        <v>8714.4079999999994</v>
      </c>
      <c r="H11" s="35">
        <v>2340.9277000000002</v>
      </c>
    </row>
    <row r="12" spans="2:26" x14ac:dyDescent="0.2">
      <c r="B12" s="240" t="s">
        <v>603</v>
      </c>
      <c r="C12" s="35">
        <v>85.763000000000005</v>
      </c>
      <c r="D12" s="35">
        <v>323.31779999999998</v>
      </c>
      <c r="E12" s="35">
        <v>2297.5880999999999</v>
      </c>
      <c r="F12" s="35">
        <v>5125.8914999999997</v>
      </c>
      <c r="G12" s="35">
        <v>6294.1615000000002</v>
      </c>
      <c r="H12" s="35">
        <v>3250.5965000000001</v>
      </c>
    </row>
    <row r="13" spans="2:26" x14ac:dyDescent="0.2">
      <c r="B13" s="240" t="s">
        <v>74</v>
      </c>
      <c r="C13" s="35">
        <v>12.242699999999999</v>
      </c>
      <c r="D13" s="35">
        <v>440.82740000000001</v>
      </c>
      <c r="E13" s="35">
        <v>4449.5012999999999</v>
      </c>
      <c r="F13" s="35">
        <v>7640.6058999999996</v>
      </c>
      <c r="G13" s="35">
        <v>9657.4946</v>
      </c>
      <c r="H13" s="35">
        <v>5141.5958000000001</v>
      </c>
    </row>
    <row r="14" spans="2:26" x14ac:dyDescent="0.2">
      <c r="B14" s="240" t="s">
        <v>75</v>
      </c>
      <c r="C14" s="35">
        <v>19.239000000000001</v>
      </c>
      <c r="D14" s="35">
        <v>275.14370000000002</v>
      </c>
      <c r="E14" s="35">
        <v>1973.0273999999999</v>
      </c>
      <c r="F14" s="35">
        <v>1030.6184000000001</v>
      </c>
      <c r="G14" s="35">
        <v>316.7722</v>
      </c>
      <c r="H14" s="35">
        <v>879.56439999999998</v>
      </c>
    </row>
    <row r="15" spans="2:26" ht="14.25" x14ac:dyDescent="0.2">
      <c r="B15" s="230" t="s">
        <v>424</v>
      </c>
      <c r="C15" s="31">
        <v>11386.14</v>
      </c>
      <c r="D15" s="31">
        <v>54495.97</v>
      </c>
      <c r="E15" s="31">
        <v>108562.75</v>
      </c>
      <c r="F15" s="31">
        <v>114507.63</v>
      </c>
      <c r="G15" s="31">
        <v>74664.47</v>
      </c>
      <c r="H15" s="31">
        <v>85329.66</v>
      </c>
    </row>
    <row r="16" spans="2:26" x14ac:dyDescent="0.2">
      <c r="B16" s="293" t="s">
        <v>599</v>
      </c>
      <c r="C16" s="301"/>
      <c r="D16" s="301"/>
      <c r="E16" s="301"/>
      <c r="F16" s="301"/>
      <c r="G16" s="301"/>
      <c r="H16" s="302"/>
    </row>
    <row r="17" spans="2:23" x14ac:dyDescent="0.2">
      <c r="B17" s="240" t="s">
        <v>78</v>
      </c>
      <c r="C17" s="35">
        <v>3550.9313000000002</v>
      </c>
      <c r="D17" s="35">
        <v>7056.0173999999997</v>
      </c>
      <c r="E17" s="35">
        <v>8900.5249000000003</v>
      </c>
      <c r="F17" s="35">
        <v>7537.6904000000004</v>
      </c>
      <c r="G17" s="35">
        <v>754.06790000000001</v>
      </c>
      <c r="H17" s="35">
        <v>6166.7323999999999</v>
      </c>
    </row>
    <row r="18" spans="2:23" x14ac:dyDescent="0.2">
      <c r="B18" s="240" t="s">
        <v>79</v>
      </c>
      <c r="C18" s="35">
        <v>5.5194000000000001</v>
      </c>
      <c r="D18" s="35">
        <v>661.84569999999997</v>
      </c>
      <c r="E18" s="35">
        <v>5050.9561999999996</v>
      </c>
      <c r="F18" s="35">
        <v>6280.8852999999999</v>
      </c>
      <c r="G18" s="35">
        <v>3551.1522</v>
      </c>
      <c r="H18" s="35">
        <v>3717.4376000000002</v>
      </c>
    </row>
    <row r="19" spans="2:23" x14ac:dyDescent="0.2">
      <c r="B19" s="240" t="s">
        <v>80</v>
      </c>
      <c r="C19" s="35">
        <v>19.140599999999999</v>
      </c>
      <c r="D19" s="35">
        <v>1531.7805000000001</v>
      </c>
      <c r="E19" s="35">
        <v>5020.5018</v>
      </c>
      <c r="F19" s="35">
        <v>7463.4575999999997</v>
      </c>
      <c r="G19" s="35">
        <v>639.57219999999995</v>
      </c>
      <c r="H19" s="35">
        <v>3609.7289000000001</v>
      </c>
    </row>
    <row r="20" spans="2:23" x14ac:dyDescent="0.2">
      <c r="B20" s="240" t="s">
        <v>81</v>
      </c>
      <c r="C20" s="35">
        <v>2001.7239999999999</v>
      </c>
      <c r="D20" s="35">
        <v>2280.1628999999998</v>
      </c>
      <c r="E20" s="35">
        <v>2931.5396000000001</v>
      </c>
      <c r="F20" s="35">
        <v>3033.4249</v>
      </c>
      <c r="G20" s="35">
        <v>2952.3897000000002</v>
      </c>
      <c r="H20" s="35">
        <v>2758.8107</v>
      </c>
    </row>
    <row r="21" spans="2:23" x14ac:dyDescent="0.2">
      <c r="B21" s="240" t="s">
        <v>82</v>
      </c>
      <c r="C21" s="35">
        <v>80.627799999999993</v>
      </c>
      <c r="D21" s="35">
        <v>519.26520000000005</v>
      </c>
      <c r="E21" s="35">
        <v>2647.8395999999998</v>
      </c>
      <c r="F21" s="35">
        <v>2639.5684999999999</v>
      </c>
      <c r="G21" s="35">
        <v>4001.4297000000001</v>
      </c>
      <c r="H21" s="35">
        <v>2288.8845000000001</v>
      </c>
    </row>
    <row r="22" spans="2:23" x14ac:dyDescent="0.2">
      <c r="B22" s="230" t="s">
        <v>87</v>
      </c>
      <c r="C22" s="31">
        <v>5657.9431999999997</v>
      </c>
      <c r="D22" s="31">
        <v>12049.0717</v>
      </c>
      <c r="E22" s="31">
        <v>24551.3622</v>
      </c>
      <c r="F22" s="31">
        <v>26955.026600000001</v>
      </c>
      <c r="G22" s="31">
        <v>11898.611800000001</v>
      </c>
      <c r="H22" s="31">
        <v>18541.5942</v>
      </c>
    </row>
    <row r="23" spans="2:23" x14ac:dyDescent="0.2">
      <c r="B23" s="296" t="s">
        <v>30</v>
      </c>
      <c r="C23" s="297"/>
      <c r="D23" s="297"/>
      <c r="E23" s="297"/>
      <c r="F23" s="297"/>
      <c r="G23" s="297"/>
      <c r="H23" s="297"/>
    </row>
    <row r="24" spans="2:23" ht="14.25" x14ac:dyDescent="0.2">
      <c r="B24" s="230" t="s">
        <v>423</v>
      </c>
      <c r="C24" s="31">
        <v>6217.36</v>
      </c>
      <c r="D24" s="31">
        <v>42594.46</v>
      </c>
      <c r="E24" s="31">
        <v>84144.98</v>
      </c>
      <c r="F24" s="31">
        <v>87747.58</v>
      </c>
      <c r="G24" s="31">
        <v>63259.07</v>
      </c>
      <c r="H24" s="31">
        <v>67029.509999999995</v>
      </c>
    </row>
    <row r="25" spans="2:23" x14ac:dyDescent="0.2">
      <c r="B25" s="296" t="s">
        <v>564</v>
      </c>
      <c r="C25" s="297"/>
      <c r="D25" s="297"/>
      <c r="E25" s="297"/>
      <c r="F25" s="297"/>
      <c r="G25" s="297"/>
      <c r="H25" s="297"/>
    </row>
    <row r="26" spans="2:23" x14ac:dyDescent="0.2">
      <c r="B26" s="240" t="s">
        <v>83</v>
      </c>
      <c r="C26" s="35">
        <v>9906.9971999999998</v>
      </c>
      <c r="D26" s="35">
        <v>35445.9539</v>
      </c>
      <c r="E26" s="35">
        <v>139571.69750000001</v>
      </c>
      <c r="F26" s="35">
        <v>252554.17860000001</v>
      </c>
      <c r="G26" s="35">
        <v>483157.80869999999</v>
      </c>
      <c r="H26" s="35">
        <v>208598.8101</v>
      </c>
    </row>
    <row r="27" spans="2:23" x14ac:dyDescent="0.2">
      <c r="B27" s="240" t="s">
        <v>631</v>
      </c>
      <c r="C27" s="35">
        <v>131.22919999999999</v>
      </c>
      <c r="D27" s="35">
        <v>540.89120000000003</v>
      </c>
      <c r="E27" s="35">
        <v>4802.9710999999998</v>
      </c>
      <c r="F27" s="35">
        <v>15182.310100000001</v>
      </c>
      <c r="G27" s="35">
        <v>14683.612800000001</v>
      </c>
      <c r="H27" s="35">
        <v>8182.5954000000002</v>
      </c>
    </row>
    <row r="28" spans="2:23" x14ac:dyDescent="0.2">
      <c r="B28" s="240" t="s">
        <v>84</v>
      </c>
      <c r="C28" s="35">
        <v>433.36470000000003</v>
      </c>
      <c r="D28" s="35">
        <v>27613.240600000001</v>
      </c>
      <c r="E28" s="35">
        <v>228361.36360000001</v>
      </c>
      <c r="F28" s="35">
        <v>356323.32809999998</v>
      </c>
      <c r="G28" s="35">
        <v>376161.25469999999</v>
      </c>
      <c r="H28" s="35">
        <v>231011.92629999999</v>
      </c>
    </row>
    <row r="29" spans="2:23" x14ac:dyDescent="0.2">
      <c r="B29" s="240" t="s">
        <v>624</v>
      </c>
      <c r="C29" s="35">
        <v>2.3117999999999999</v>
      </c>
      <c r="D29" s="35">
        <v>2802.7</v>
      </c>
      <c r="E29" s="35">
        <v>16248.712100000001</v>
      </c>
      <c r="F29" s="35">
        <v>28377.355800000001</v>
      </c>
      <c r="G29" s="35">
        <v>14626.554599999999</v>
      </c>
      <c r="H29" s="35">
        <v>14824.9797</v>
      </c>
      <c r="M29" s="292"/>
      <c r="N29" s="292"/>
      <c r="O29" s="292"/>
      <c r="P29" s="292"/>
      <c r="Q29" s="292"/>
      <c r="R29" s="292"/>
      <c r="S29" s="292"/>
      <c r="T29" s="292"/>
      <c r="U29" s="292"/>
      <c r="V29" s="292"/>
      <c r="W29" s="292"/>
    </row>
    <row r="30" spans="2:23" x14ac:dyDescent="0.2">
      <c r="B30" s="240" t="s">
        <v>85</v>
      </c>
      <c r="C30" s="35">
        <v>339.2867</v>
      </c>
      <c r="D30" s="35">
        <v>2473.4740000000002</v>
      </c>
      <c r="E30" s="35">
        <v>7899.8775999999998</v>
      </c>
      <c r="F30" s="35">
        <v>12836.627500000001</v>
      </c>
      <c r="G30" s="35">
        <v>11991.779</v>
      </c>
      <c r="H30" s="35">
        <v>8305.4560000000001</v>
      </c>
    </row>
    <row r="31" spans="2:23" ht="14.25" x14ac:dyDescent="0.2">
      <c r="B31" s="230" t="s">
        <v>422</v>
      </c>
      <c r="C31" s="31">
        <v>10813.19</v>
      </c>
      <c r="D31" s="31">
        <v>68885.59</v>
      </c>
      <c r="E31" s="31">
        <v>396914.03</v>
      </c>
      <c r="F31" s="31">
        <v>665326.21</v>
      </c>
      <c r="G31" s="31">
        <v>900674.21</v>
      </c>
      <c r="H31" s="31">
        <v>470957.63</v>
      </c>
      <c r="L31" s="48"/>
      <c r="M31" s="48"/>
      <c r="N31" s="48"/>
      <c r="O31" s="48"/>
      <c r="P31" s="48"/>
      <c r="Q31" s="48"/>
      <c r="R31" s="48"/>
      <c r="S31" s="48"/>
      <c r="T31" s="48"/>
      <c r="U31" s="48"/>
      <c r="V31" s="48"/>
      <c r="W31" s="48"/>
    </row>
    <row r="32" spans="2:23" x14ac:dyDescent="0.2">
      <c r="B32" s="296" t="s">
        <v>86</v>
      </c>
      <c r="C32" s="297"/>
      <c r="D32" s="297"/>
      <c r="E32" s="297"/>
      <c r="F32" s="297"/>
      <c r="G32" s="297"/>
      <c r="H32" s="297"/>
      <c r="L32" s="48"/>
      <c r="M32" s="48"/>
      <c r="N32" s="48"/>
      <c r="O32" s="48"/>
      <c r="P32" s="48"/>
      <c r="Q32" s="48"/>
      <c r="R32" s="48"/>
      <c r="S32" s="48"/>
      <c r="T32" s="48"/>
      <c r="U32" s="48"/>
      <c r="V32" s="48"/>
      <c r="W32" s="48"/>
    </row>
    <row r="33" spans="2:23" x14ac:dyDescent="0.2">
      <c r="B33" s="230" t="s">
        <v>86</v>
      </c>
      <c r="C33" s="31">
        <v>429.43</v>
      </c>
      <c r="D33" s="31">
        <v>35000.46</v>
      </c>
      <c r="E33" s="31">
        <v>263322.98</v>
      </c>
      <c r="F33" s="31">
        <v>332868.96000000002</v>
      </c>
      <c r="G33" s="31">
        <v>192797.1</v>
      </c>
      <c r="H33" s="31">
        <v>196897.24</v>
      </c>
      <c r="L33" s="48"/>
      <c r="M33" s="48"/>
      <c r="N33" s="48"/>
      <c r="O33" s="48"/>
      <c r="P33" s="48"/>
      <c r="Q33" s="48"/>
      <c r="R33" s="48"/>
      <c r="S33" s="48"/>
      <c r="T33" s="48"/>
      <c r="U33" s="48"/>
      <c r="V33" s="48"/>
      <c r="W33" s="48"/>
    </row>
    <row r="34" spans="2:23" x14ac:dyDescent="0.2">
      <c r="B34" s="296" t="s">
        <v>32</v>
      </c>
      <c r="C34" s="297"/>
      <c r="D34" s="297"/>
      <c r="E34" s="297"/>
      <c r="F34" s="297"/>
      <c r="G34" s="297"/>
      <c r="H34" s="297"/>
      <c r="L34" s="48"/>
      <c r="M34" s="48"/>
      <c r="N34" s="48"/>
      <c r="O34" s="48"/>
      <c r="P34" s="48"/>
      <c r="Q34" s="48"/>
      <c r="R34" s="48"/>
      <c r="S34" s="48"/>
      <c r="T34" s="48"/>
      <c r="U34" s="48"/>
      <c r="V34" s="48"/>
      <c r="W34" s="48"/>
    </row>
    <row r="35" spans="2:23" ht="14.25" x14ac:dyDescent="0.2">
      <c r="B35" s="230" t="s">
        <v>426</v>
      </c>
      <c r="C35" s="31">
        <v>10482.07</v>
      </c>
      <c r="D35" s="31">
        <v>39397.81</v>
      </c>
      <c r="E35" s="31">
        <v>157321.04</v>
      </c>
      <c r="F35" s="31">
        <v>348642.61</v>
      </c>
      <c r="G35" s="31">
        <v>709808.4</v>
      </c>
      <c r="H35" s="31">
        <v>285740.07</v>
      </c>
      <c r="L35" s="48"/>
      <c r="M35" s="48"/>
      <c r="N35" s="48"/>
      <c r="O35" s="48"/>
      <c r="P35" s="48"/>
      <c r="Q35" s="48"/>
      <c r="R35" s="48"/>
      <c r="S35" s="48"/>
      <c r="T35" s="48"/>
      <c r="U35" s="48"/>
      <c r="V35" s="48"/>
      <c r="W35" s="48"/>
    </row>
    <row r="36" spans="2:23" x14ac:dyDescent="0.2">
      <c r="L36" s="48"/>
      <c r="M36" s="48"/>
      <c r="N36" s="48"/>
      <c r="O36" s="48"/>
      <c r="P36" s="48"/>
      <c r="Q36" s="48"/>
      <c r="R36" s="48"/>
      <c r="S36" s="48"/>
      <c r="T36" s="48"/>
      <c r="U36" s="48"/>
      <c r="V36" s="48"/>
      <c r="W36" s="48"/>
    </row>
    <row r="37" spans="2:23" s="114" customFormat="1" x14ac:dyDescent="0.2">
      <c r="B37" s="300" t="s">
        <v>33</v>
      </c>
      <c r="C37" s="292"/>
      <c r="D37" s="292"/>
      <c r="E37" s="292"/>
      <c r="F37" s="292"/>
      <c r="G37" s="292"/>
      <c r="H37" s="292"/>
      <c r="L37" s="48"/>
      <c r="M37" s="48"/>
      <c r="N37" s="48"/>
      <c r="O37" s="48"/>
      <c r="P37" s="48"/>
      <c r="Q37" s="48"/>
      <c r="R37" s="48"/>
      <c r="S37" s="48"/>
      <c r="T37" s="48"/>
      <c r="U37" s="48"/>
      <c r="V37" s="48"/>
      <c r="W37" s="48"/>
    </row>
    <row r="38" spans="2:23" ht="39.75" customHeight="1" x14ac:dyDescent="0.2">
      <c r="B38" s="298" t="s">
        <v>632</v>
      </c>
      <c r="C38" s="299"/>
      <c r="D38" s="299"/>
      <c r="E38" s="299"/>
      <c r="F38" s="299"/>
      <c r="G38" s="299"/>
      <c r="H38" s="299"/>
    </row>
    <row r="45" spans="2:23" x14ac:dyDescent="0.2">
      <c r="N45" s="7" t="s">
        <v>504</v>
      </c>
    </row>
    <row r="50" spans="14:16" x14ac:dyDescent="0.2">
      <c r="N50" s="132" t="s">
        <v>441</v>
      </c>
      <c r="O50" s="132" t="s">
        <v>442</v>
      </c>
      <c r="P50" s="133" t="s">
        <v>169</v>
      </c>
    </row>
    <row r="51" spans="14:16" x14ac:dyDescent="0.2">
      <c r="N51" s="132" t="s">
        <v>443</v>
      </c>
      <c r="O51" s="245">
        <v>6217.363738</v>
      </c>
      <c r="P51" s="133">
        <f>$O$58</f>
        <v>67029.508889999997</v>
      </c>
    </row>
    <row r="52" spans="14:16" x14ac:dyDescent="0.2">
      <c r="N52" s="132" t="s">
        <v>444</v>
      </c>
      <c r="O52" s="245">
        <v>33929.122960000001</v>
      </c>
      <c r="P52" s="133">
        <f t="shared" ref="P52:P57" si="0">$O$58</f>
        <v>67029.508889999997</v>
      </c>
    </row>
    <row r="53" spans="14:16" x14ac:dyDescent="0.2">
      <c r="N53" s="132" t="s">
        <v>445</v>
      </c>
      <c r="O53" s="245">
        <v>68810.167400000006</v>
      </c>
      <c r="P53" s="133">
        <f t="shared" si="0"/>
        <v>67029.508889999997</v>
      </c>
    </row>
    <row r="54" spans="14:16" x14ac:dyDescent="0.2">
      <c r="N54" s="132" t="s">
        <v>446</v>
      </c>
      <c r="O54" s="245">
        <v>87565.143700000001</v>
      </c>
      <c r="P54" s="133">
        <f t="shared" si="0"/>
        <v>67029.508889999997</v>
      </c>
    </row>
    <row r="55" spans="14:16" x14ac:dyDescent="0.2">
      <c r="N55" s="132" t="s">
        <v>447</v>
      </c>
      <c r="O55" s="245">
        <v>89918.821939999994</v>
      </c>
      <c r="P55" s="133">
        <f t="shared" si="0"/>
        <v>67029.508889999997</v>
      </c>
    </row>
    <row r="56" spans="14:16" x14ac:dyDescent="0.2">
      <c r="N56" s="132" t="s">
        <v>448</v>
      </c>
      <c r="O56" s="245">
        <v>82164.080199999997</v>
      </c>
      <c r="P56" s="133">
        <f t="shared" si="0"/>
        <v>67029.508889999997</v>
      </c>
    </row>
    <row r="57" spans="14:16" x14ac:dyDescent="0.2">
      <c r="N57" s="132" t="s">
        <v>92</v>
      </c>
      <c r="O57" s="245">
        <v>63259.072289999996</v>
      </c>
      <c r="P57" s="133">
        <f t="shared" si="0"/>
        <v>67029.508889999997</v>
      </c>
    </row>
    <row r="58" spans="14:16" x14ac:dyDescent="0.2">
      <c r="N58" s="134" t="s">
        <v>0</v>
      </c>
      <c r="O58" s="245">
        <v>67029.508889999997</v>
      </c>
      <c r="P58" s="134"/>
    </row>
    <row r="59" spans="14:16" x14ac:dyDescent="0.2">
      <c r="N59" s="134"/>
      <c r="O59" s="134"/>
      <c r="P59" s="134"/>
    </row>
    <row r="60" spans="14:16" x14ac:dyDescent="0.2">
      <c r="N60" s="134"/>
      <c r="O60" s="134"/>
      <c r="P60" s="134"/>
    </row>
    <row r="61" spans="14:16" x14ac:dyDescent="0.2">
      <c r="N61" s="134"/>
      <c r="O61" s="134"/>
      <c r="P61" s="134"/>
    </row>
    <row r="62" spans="14:16" x14ac:dyDescent="0.2">
      <c r="N62" s="134"/>
      <c r="O62" s="134"/>
      <c r="P62" s="134"/>
    </row>
    <row r="63" spans="14:16" x14ac:dyDescent="0.2">
      <c r="N63" s="134"/>
      <c r="O63" s="134"/>
      <c r="P63" s="134"/>
    </row>
    <row r="64" spans="14:16" x14ac:dyDescent="0.2">
      <c r="N64" s="134"/>
      <c r="O64" s="134"/>
      <c r="P64" s="134"/>
    </row>
    <row r="65" spans="14:16" x14ac:dyDescent="0.2">
      <c r="N65" s="134"/>
      <c r="O65" s="134"/>
      <c r="P65" s="134"/>
    </row>
    <row r="66" spans="14:16" x14ac:dyDescent="0.2">
      <c r="N66" s="134"/>
      <c r="O66" s="134"/>
      <c r="P66" s="134"/>
    </row>
    <row r="67" spans="14:16" x14ac:dyDescent="0.2">
      <c r="N67" s="134"/>
      <c r="O67" s="134"/>
      <c r="P67" s="134"/>
    </row>
    <row r="68" spans="14:16" x14ac:dyDescent="0.2">
      <c r="N68" s="134"/>
      <c r="O68" s="134"/>
      <c r="P68" s="134"/>
    </row>
    <row r="69" spans="14:16" x14ac:dyDescent="0.2">
      <c r="N69" s="134"/>
      <c r="O69" s="134"/>
      <c r="P69" s="134"/>
    </row>
    <row r="70" spans="14:16" x14ac:dyDescent="0.2">
      <c r="N70" s="134"/>
      <c r="O70" s="134"/>
      <c r="P70" s="134"/>
    </row>
    <row r="71" spans="14:16" x14ac:dyDescent="0.2">
      <c r="N71" s="134"/>
      <c r="O71" s="134"/>
      <c r="P71" s="134"/>
    </row>
    <row r="72" spans="14:16" x14ac:dyDescent="0.2">
      <c r="N72" s="134"/>
      <c r="O72" s="134"/>
      <c r="P72" s="134"/>
    </row>
    <row r="73" spans="14:16" x14ac:dyDescent="0.2">
      <c r="N73" s="134"/>
      <c r="O73" s="134"/>
      <c r="P73" s="134"/>
    </row>
    <row r="74" spans="14:16" x14ac:dyDescent="0.2">
      <c r="N74" s="134"/>
      <c r="O74" s="134"/>
      <c r="P74" s="134"/>
    </row>
    <row r="75" spans="14:16" x14ac:dyDescent="0.2">
      <c r="N75" s="134"/>
      <c r="O75" s="134"/>
      <c r="P75" s="134"/>
    </row>
    <row r="76" spans="14:16" x14ac:dyDescent="0.2">
      <c r="N76" s="134"/>
      <c r="O76" s="134"/>
      <c r="P76" s="134"/>
    </row>
    <row r="77" spans="14:16" x14ac:dyDescent="0.2">
      <c r="N77" s="134" t="s">
        <v>441</v>
      </c>
      <c r="O77" s="134" t="s">
        <v>449</v>
      </c>
      <c r="P77" s="134" t="s">
        <v>169</v>
      </c>
    </row>
    <row r="78" spans="14:16" x14ac:dyDescent="0.2">
      <c r="N78" s="134" t="s">
        <v>443</v>
      </c>
      <c r="O78" s="135">
        <v>10482.06565</v>
      </c>
      <c r="P78" s="135">
        <f>$O$85</f>
        <v>285740.06579999998</v>
      </c>
    </row>
    <row r="79" spans="14:16" x14ac:dyDescent="0.2">
      <c r="N79" s="134" t="s">
        <v>444</v>
      </c>
      <c r="O79" s="135">
        <v>27751.89215</v>
      </c>
      <c r="P79" s="135">
        <f t="shared" ref="P79:P85" si="1">$O$85</f>
        <v>285740.06579999998</v>
      </c>
    </row>
    <row r="80" spans="14:16" x14ac:dyDescent="0.2">
      <c r="N80" s="134" t="s">
        <v>445</v>
      </c>
      <c r="O80" s="135">
        <v>80859.484060000003</v>
      </c>
      <c r="P80" s="135">
        <f t="shared" si="1"/>
        <v>285740.06579999998</v>
      </c>
    </row>
    <row r="81" spans="14:16" x14ac:dyDescent="0.2">
      <c r="N81" s="134" t="s">
        <v>446</v>
      </c>
      <c r="O81" s="135">
        <v>182269.50409999999</v>
      </c>
      <c r="P81" s="135">
        <f t="shared" si="1"/>
        <v>285740.06579999998</v>
      </c>
    </row>
    <row r="82" spans="14:16" x14ac:dyDescent="0.2">
      <c r="N82" s="134" t="s">
        <v>447</v>
      </c>
      <c r="O82" s="135">
        <v>300216.09710000001</v>
      </c>
      <c r="P82" s="135">
        <f t="shared" si="1"/>
        <v>285740.06579999998</v>
      </c>
    </row>
    <row r="83" spans="14:16" x14ac:dyDescent="0.2">
      <c r="N83" s="134" t="s">
        <v>448</v>
      </c>
      <c r="O83" s="135">
        <v>473174.3713</v>
      </c>
      <c r="P83" s="135">
        <f t="shared" si="1"/>
        <v>285740.06579999998</v>
      </c>
    </row>
    <row r="84" spans="14:16" x14ac:dyDescent="0.2">
      <c r="N84" s="134" t="s">
        <v>92</v>
      </c>
      <c r="O84" s="135">
        <v>709808.39690000005</v>
      </c>
      <c r="P84" s="135">
        <f t="shared" si="1"/>
        <v>285740.06579999998</v>
      </c>
    </row>
    <row r="85" spans="14:16" x14ac:dyDescent="0.2">
      <c r="N85" s="134" t="s">
        <v>0</v>
      </c>
      <c r="O85" s="135">
        <v>285740.06579999998</v>
      </c>
      <c r="P85" s="135">
        <f t="shared" si="1"/>
        <v>285740.06579999998</v>
      </c>
    </row>
    <row r="99" spans="6:15" x14ac:dyDescent="0.2">
      <c r="F99" s="161"/>
      <c r="G99" s="161"/>
      <c r="H99" s="161"/>
      <c r="I99" s="161"/>
    </row>
    <row r="100" spans="6:15" x14ac:dyDescent="0.2">
      <c r="F100" s="161"/>
      <c r="G100" s="148"/>
      <c r="H100" s="148"/>
      <c r="I100" s="148"/>
      <c r="N100" s="112"/>
      <c r="O100" s="112"/>
    </row>
    <row r="101" spans="6:15" x14ac:dyDescent="0.2">
      <c r="F101" s="161"/>
      <c r="G101" s="148"/>
      <c r="H101" s="148"/>
      <c r="I101" s="148"/>
      <c r="N101" s="112"/>
      <c r="O101" s="112"/>
    </row>
    <row r="102" spans="6:15" x14ac:dyDescent="0.2">
      <c r="F102" s="161"/>
      <c r="G102" s="148"/>
      <c r="H102" s="148"/>
      <c r="I102" s="148"/>
      <c r="N102" s="112"/>
      <c r="O102" s="112"/>
    </row>
    <row r="103" spans="6:15" x14ac:dyDescent="0.2">
      <c r="F103" s="161"/>
      <c r="G103" s="148"/>
      <c r="H103" s="148"/>
      <c r="I103" s="148"/>
      <c r="N103" s="112"/>
      <c r="O103" s="112"/>
    </row>
    <row r="104" spans="6:15" x14ac:dyDescent="0.2">
      <c r="F104" s="161"/>
      <c r="G104" s="148"/>
      <c r="H104" s="148"/>
      <c r="I104" s="148"/>
      <c r="N104" s="112"/>
      <c r="O104" s="112"/>
    </row>
    <row r="105" spans="6:15" x14ac:dyDescent="0.2">
      <c r="F105" s="161"/>
      <c r="G105" s="148"/>
      <c r="H105" s="148"/>
      <c r="I105" s="148"/>
      <c r="N105" s="112"/>
      <c r="O105" s="112"/>
    </row>
    <row r="106" spans="6:15" x14ac:dyDescent="0.2">
      <c r="F106" s="161"/>
      <c r="G106" s="148"/>
      <c r="H106" s="148"/>
      <c r="I106" s="148"/>
      <c r="N106" s="112"/>
      <c r="O106" s="112"/>
    </row>
    <row r="107" spans="6:15" x14ac:dyDescent="0.2">
      <c r="H107" s="159"/>
      <c r="I107" s="159"/>
      <c r="N107" s="112"/>
      <c r="O107" s="112"/>
    </row>
  </sheetData>
  <mergeCells count="10">
    <mergeCell ref="T29:W29"/>
    <mergeCell ref="B32:H32"/>
    <mergeCell ref="B34:H34"/>
    <mergeCell ref="B38:H38"/>
    <mergeCell ref="B5:H5"/>
    <mergeCell ref="B16:H16"/>
    <mergeCell ref="B23:H23"/>
    <mergeCell ref="B25:H25"/>
    <mergeCell ref="M29:S29"/>
    <mergeCell ref="B37:H37"/>
  </mergeCells>
  <pageMargins left="0.78740157480314965" right="0.78740157480314965" top="0.98425196850393704" bottom="0.98425196850393704" header="0.51181102362204722" footer="0.51181102362204722"/>
  <pageSetup paperSize="9" scale="66" orientation="landscape" r:id="rId1"/>
  <headerFooter alignWithMargins="0"/>
  <rowBreaks count="1" manualBreakCount="1">
    <brk id="40"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6E51"/>
    <pageSetUpPr fitToPage="1"/>
  </sheetPr>
  <dimension ref="B1:Z41"/>
  <sheetViews>
    <sheetView view="pageBreakPreview" zoomScaleNormal="100" zoomScaleSheetLayoutView="100" workbookViewId="0">
      <selection activeCell="B1" sqref="B1"/>
    </sheetView>
  </sheetViews>
  <sheetFormatPr baseColWidth="10" defaultRowHeight="12.75" x14ac:dyDescent="0.2"/>
  <cols>
    <col min="1" max="1" width="2" style="76" customWidth="1"/>
    <col min="2" max="2" width="41.28515625" style="76" customWidth="1"/>
    <col min="3" max="8" width="12.7109375" style="76" customWidth="1"/>
    <col min="9" max="16384" width="11.42578125" style="76"/>
  </cols>
  <sheetData>
    <row r="1" spans="2:26" s="11" customFormat="1" ht="15.75" x14ac:dyDescent="0.2">
      <c r="B1" s="186" t="str">
        <f>Inhaltsverzeichnis!B31&amp;" "&amp;Inhaltsverzeichnis!C31&amp;" "&amp;Inhaltsverzeichnis!E31</f>
        <v>Tabelle 8: Zusammensetzung des Reineinkommens und des Reinvermögens nach Erwerbsart, 2014, in Franken pro Pflichtigen</v>
      </c>
      <c r="C1" s="187"/>
      <c r="D1" s="187"/>
      <c r="E1" s="187"/>
      <c r="F1" s="187"/>
      <c r="G1" s="187"/>
      <c r="H1" s="187"/>
      <c r="I1" s="187"/>
      <c r="J1" s="187"/>
      <c r="K1" s="187"/>
      <c r="L1" s="187"/>
      <c r="M1" s="187"/>
      <c r="N1" s="187"/>
      <c r="O1" s="187"/>
      <c r="P1" s="187"/>
      <c r="Q1" s="187"/>
      <c r="R1" s="73"/>
      <c r="S1" s="73"/>
      <c r="T1" s="73"/>
      <c r="U1" s="73"/>
      <c r="V1" s="73"/>
      <c r="W1" s="73"/>
      <c r="X1" s="73"/>
      <c r="Y1" s="73"/>
      <c r="Z1" s="73"/>
    </row>
    <row r="3" spans="2:26" x14ac:dyDescent="0.2">
      <c r="B3" s="278" t="s">
        <v>565</v>
      </c>
      <c r="C3" s="306" t="s">
        <v>93</v>
      </c>
      <c r="D3" s="307"/>
      <c r="E3" s="308" t="s">
        <v>635</v>
      </c>
      <c r="F3" s="308" t="s">
        <v>636</v>
      </c>
      <c r="G3" s="310" t="s">
        <v>12</v>
      </c>
      <c r="H3" s="303" t="s">
        <v>0</v>
      </c>
    </row>
    <row r="4" spans="2:26" s="45" customFormat="1" ht="42" customHeight="1" x14ac:dyDescent="0.2">
      <c r="B4" s="305"/>
      <c r="C4" s="102" t="s">
        <v>94</v>
      </c>
      <c r="D4" s="79" t="s">
        <v>566</v>
      </c>
      <c r="E4" s="309"/>
      <c r="F4" s="309"/>
      <c r="G4" s="304"/>
      <c r="H4" s="304"/>
    </row>
    <row r="5" spans="2:26" s="45" customFormat="1" ht="14.25" x14ac:dyDescent="0.2">
      <c r="B5" s="234" t="s">
        <v>421</v>
      </c>
      <c r="C5" s="101">
        <v>14252.2215</v>
      </c>
      <c r="D5" s="101">
        <v>241859.56765000001</v>
      </c>
      <c r="E5" s="101">
        <v>86648.116829999999</v>
      </c>
      <c r="F5" s="101">
        <v>11681.43506</v>
      </c>
      <c r="G5" s="101">
        <v>9481.4454600000008</v>
      </c>
      <c r="H5" s="101">
        <v>363922.78649999999</v>
      </c>
      <c r="I5" s="160"/>
    </row>
    <row r="6" spans="2:26" x14ac:dyDescent="0.2">
      <c r="B6" s="293" t="s">
        <v>563</v>
      </c>
      <c r="C6" s="294"/>
      <c r="D6" s="294"/>
      <c r="E6" s="294"/>
      <c r="F6" s="294"/>
      <c r="G6" s="294"/>
      <c r="H6" s="295"/>
      <c r="I6" s="99"/>
      <c r="J6" s="99"/>
      <c r="K6" s="99"/>
      <c r="L6" s="99"/>
    </row>
    <row r="7" spans="2:26" x14ac:dyDescent="0.2">
      <c r="B7" s="239" t="s">
        <v>69</v>
      </c>
      <c r="C7" s="35">
        <v>3460.8919000000001</v>
      </c>
      <c r="D7" s="35">
        <v>73348.986199999999</v>
      </c>
      <c r="E7" s="35">
        <v>456.8845</v>
      </c>
      <c r="F7" s="35">
        <v>16189.724099999999</v>
      </c>
      <c r="G7" s="35">
        <v>0</v>
      </c>
      <c r="H7" s="35">
        <v>49511.015899999999</v>
      </c>
    </row>
    <row r="8" spans="2:26" x14ac:dyDescent="0.2">
      <c r="B8" s="239" t="s">
        <v>70</v>
      </c>
      <c r="C8" s="35">
        <v>12979.37</v>
      </c>
      <c r="D8" s="35">
        <v>10632.8181</v>
      </c>
      <c r="E8" s="35">
        <v>3017.7058999999999</v>
      </c>
      <c r="F8" s="35">
        <v>6384.3427000000001</v>
      </c>
      <c r="G8" s="35">
        <v>5592.5322999999999</v>
      </c>
      <c r="H8" s="35">
        <v>8643.9099000000006</v>
      </c>
    </row>
    <row r="9" spans="2:26" x14ac:dyDescent="0.2">
      <c r="B9" s="239" t="s">
        <v>71</v>
      </c>
      <c r="C9" s="35">
        <v>81429.012199999997</v>
      </c>
      <c r="D9" s="35">
        <v>230.98929999999999</v>
      </c>
      <c r="E9" s="35">
        <v>-90.356899999999996</v>
      </c>
      <c r="F9" s="35">
        <v>2156.6010000000001</v>
      </c>
      <c r="G9" s="35">
        <v>0</v>
      </c>
      <c r="H9" s="35">
        <v>3390.2087999999999</v>
      </c>
    </row>
    <row r="10" spans="2:26" x14ac:dyDescent="0.2">
      <c r="B10" s="239" t="s">
        <v>72</v>
      </c>
      <c r="C10" s="35">
        <v>2610.7177999999999</v>
      </c>
      <c r="D10" s="35">
        <v>439.11739999999998</v>
      </c>
      <c r="E10" s="35">
        <v>216.48349999999999</v>
      </c>
      <c r="F10" s="35">
        <v>648.74659999999994</v>
      </c>
      <c r="G10" s="35">
        <v>249.79300000000001</v>
      </c>
      <c r="H10" s="35">
        <v>472.95150000000001</v>
      </c>
    </row>
    <row r="11" spans="2:26" x14ac:dyDescent="0.2">
      <c r="B11" s="240" t="s">
        <v>630</v>
      </c>
      <c r="C11" s="35">
        <v>3075.7359999999999</v>
      </c>
      <c r="D11" s="35">
        <v>1208.3405</v>
      </c>
      <c r="E11" s="35">
        <v>40331.123200000002</v>
      </c>
      <c r="F11" s="35">
        <v>34054.443500000001</v>
      </c>
      <c r="G11" s="35">
        <v>0</v>
      </c>
      <c r="H11" s="35">
        <v>11619.2379</v>
      </c>
    </row>
    <row r="12" spans="2:26" x14ac:dyDescent="0.2">
      <c r="B12" s="240" t="s">
        <v>419</v>
      </c>
      <c r="C12" s="35">
        <v>1594.8592000000001</v>
      </c>
      <c r="D12" s="35">
        <v>625.98680000000002</v>
      </c>
      <c r="E12" s="35">
        <v>7138.0402000000004</v>
      </c>
      <c r="F12" s="35">
        <v>4458.4342999999999</v>
      </c>
      <c r="G12" s="35">
        <v>760.125</v>
      </c>
      <c r="H12" s="35">
        <v>2340.9277000000002</v>
      </c>
    </row>
    <row r="13" spans="2:26" x14ac:dyDescent="0.2">
      <c r="B13" s="240" t="s">
        <v>603</v>
      </c>
      <c r="C13" s="35">
        <v>2891.5239000000001</v>
      </c>
      <c r="D13" s="35">
        <v>3001.0324000000001</v>
      </c>
      <c r="E13" s="35">
        <v>3881.7773000000002</v>
      </c>
      <c r="F13" s="35">
        <v>5649.7960999999996</v>
      </c>
      <c r="G13" s="35">
        <v>1432.3407</v>
      </c>
      <c r="H13" s="35">
        <v>3250.5965000000001</v>
      </c>
    </row>
    <row r="14" spans="2:26" x14ac:dyDescent="0.2">
      <c r="B14" s="240" t="s">
        <v>74</v>
      </c>
      <c r="C14" s="35">
        <v>10744.350200000001</v>
      </c>
      <c r="D14" s="35">
        <v>3851.9375</v>
      </c>
      <c r="E14" s="35">
        <v>7523.0843000000004</v>
      </c>
      <c r="F14" s="35">
        <v>8854.6744999999992</v>
      </c>
      <c r="G14" s="35">
        <v>3278.8987999999999</v>
      </c>
      <c r="H14" s="35">
        <v>5141.5958000000001</v>
      </c>
    </row>
    <row r="15" spans="2:26" x14ac:dyDescent="0.2">
      <c r="B15" s="240" t="s">
        <v>75</v>
      </c>
      <c r="C15" s="35">
        <v>1628.63</v>
      </c>
      <c r="D15" s="35">
        <v>917.82740000000001</v>
      </c>
      <c r="E15" s="35">
        <v>394.31479999999999</v>
      </c>
      <c r="F15" s="35">
        <v>515.005</v>
      </c>
      <c r="G15" s="35">
        <v>3661.2511</v>
      </c>
      <c r="H15" s="35">
        <v>879.56439999999998</v>
      </c>
    </row>
    <row r="16" spans="2:26" ht="14.25" x14ac:dyDescent="0.2">
      <c r="B16" s="230" t="s">
        <v>427</v>
      </c>
      <c r="C16" s="31">
        <v>120501.19</v>
      </c>
      <c r="D16" s="31">
        <v>94325.25</v>
      </c>
      <c r="E16" s="31">
        <v>62979.92</v>
      </c>
      <c r="F16" s="31">
        <v>78960.070000000007</v>
      </c>
      <c r="G16" s="31">
        <v>15090.24</v>
      </c>
      <c r="H16" s="31">
        <v>85329.66</v>
      </c>
    </row>
    <row r="17" spans="2:23" x14ac:dyDescent="0.2">
      <c r="B17" s="296" t="s">
        <v>599</v>
      </c>
      <c r="C17" s="297"/>
      <c r="D17" s="297"/>
      <c r="E17" s="297"/>
      <c r="F17" s="297"/>
      <c r="G17" s="297"/>
      <c r="H17" s="297"/>
    </row>
    <row r="18" spans="2:23" x14ac:dyDescent="0.2">
      <c r="B18" s="240" t="s">
        <v>78</v>
      </c>
      <c r="C18" s="35">
        <v>1844.3735999999999</v>
      </c>
      <c r="D18" s="35">
        <v>8757.6551999999992</v>
      </c>
      <c r="E18" s="35">
        <v>570.71770000000004</v>
      </c>
      <c r="F18" s="35">
        <v>3882.2150999999999</v>
      </c>
      <c r="G18" s="35">
        <v>527.75369999999998</v>
      </c>
      <c r="H18" s="35">
        <v>6166.7323999999999</v>
      </c>
    </row>
    <row r="19" spans="2:23" x14ac:dyDescent="0.2">
      <c r="B19" s="240" t="s">
        <v>79</v>
      </c>
      <c r="C19" s="35">
        <v>6502.9921999999997</v>
      </c>
      <c r="D19" s="35">
        <v>3933.0241000000001</v>
      </c>
      <c r="E19" s="35">
        <v>2842.2228</v>
      </c>
      <c r="F19" s="35">
        <v>4259.6714000000002</v>
      </c>
      <c r="G19" s="35">
        <v>1361.2207000000001</v>
      </c>
      <c r="H19" s="35">
        <v>3717.4376000000002</v>
      </c>
    </row>
    <row r="20" spans="2:23" x14ac:dyDescent="0.2">
      <c r="B20" s="240" t="s">
        <v>80</v>
      </c>
      <c r="C20" s="35">
        <v>9744.6898000000001</v>
      </c>
      <c r="D20" s="35">
        <v>4644.3302000000003</v>
      </c>
      <c r="E20" s="35">
        <v>307.22410000000002</v>
      </c>
      <c r="F20" s="35">
        <v>1950.1721</v>
      </c>
      <c r="G20" s="35">
        <v>221.721</v>
      </c>
      <c r="H20" s="35">
        <v>3609.7289000000001</v>
      </c>
    </row>
    <row r="21" spans="2:23" x14ac:dyDescent="0.2">
      <c r="B21" s="240" t="s">
        <v>81</v>
      </c>
      <c r="C21" s="35">
        <v>3011.0365000000002</v>
      </c>
      <c r="D21" s="35">
        <v>2730.3654000000001</v>
      </c>
      <c r="E21" s="35">
        <v>2841.6496000000002</v>
      </c>
      <c r="F21" s="35">
        <v>2797.7674000000002</v>
      </c>
      <c r="G21" s="35">
        <v>2300.2404000000001</v>
      </c>
      <c r="H21" s="35">
        <v>2758.8107</v>
      </c>
    </row>
    <row r="22" spans="2:23" x14ac:dyDescent="0.2">
      <c r="B22" s="240" t="s">
        <v>82</v>
      </c>
      <c r="C22" s="35">
        <v>2469.0927000000001</v>
      </c>
      <c r="D22" s="35">
        <v>1725.4096999999999</v>
      </c>
      <c r="E22" s="35">
        <v>3994.1783999999998</v>
      </c>
      <c r="F22" s="35">
        <v>2414.7687999999998</v>
      </c>
      <c r="G22" s="35">
        <v>652.25660000000005</v>
      </c>
      <c r="H22" s="35">
        <v>2288.8845000000001</v>
      </c>
    </row>
    <row r="23" spans="2:23" x14ac:dyDescent="0.2">
      <c r="B23" s="230" t="s">
        <v>87</v>
      </c>
      <c r="C23" s="31">
        <v>23572.184799999999</v>
      </c>
      <c r="D23" s="31">
        <v>21790.784599999999</v>
      </c>
      <c r="E23" s="31">
        <v>10555.992399999999</v>
      </c>
      <c r="F23" s="31">
        <v>15304.594800000001</v>
      </c>
      <c r="G23" s="31">
        <v>5063.1923999999999</v>
      </c>
      <c r="H23" s="31">
        <v>18541.5942</v>
      </c>
    </row>
    <row r="24" spans="2:23" x14ac:dyDescent="0.2">
      <c r="B24" s="296" t="s">
        <v>30</v>
      </c>
      <c r="C24" s="297"/>
      <c r="D24" s="297"/>
      <c r="E24" s="297"/>
      <c r="F24" s="297"/>
      <c r="G24" s="297"/>
      <c r="H24" s="297"/>
    </row>
    <row r="25" spans="2:23" ht="14.25" x14ac:dyDescent="0.2">
      <c r="B25" s="230" t="s">
        <v>428</v>
      </c>
      <c r="C25" s="31">
        <v>97093.05</v>
      </c>
      <c r="D25" s="31">
        <v>72617.279999999999</v>
      </c>
      <c r="E25" s="31">
        <v>52977.36</v>
      </c>
      <c r="F25" s="31">
        <v>63810.04</v>
      </c>
      <c r="G25" s="31">
        <v>11686.78</v>
      </c>
      <c r="H25" s="31">
        <v>67029.509999999995</v>
      </c>
    </row>
    <row r="26" spans="2:23" x14ac:dyDescent="0.2">
      <c r="B26" s="296" t="s">
        <v>564</v>
      </c>
      <c r="C26" s="297"/>
      <c r="D26" s="297"/>
      <c r="E26" s="297"/>
      <c r="F26" s="297"/>
      <c r="G26" s="297"/>
      <c r="H26" s="297"/>
    </row>
    <row r="27" spans="2:23" x14ac:dyDescent="0.2">
      <c r="B27" s="240" t="s">
        <v>83</v>
      </c>
      <c r="C27" s="35">
        <v>240984.20499999999</v>
      </c>
      <c r="D27" s="35">
        <v>149334.33720000001</v>
      </c>
      <c r="E27" s="35">
        <v>363388.31170000002</v>
      </c>
      <c r="F27" s="35">
        <v>336064.78220000002</v>
      </c>
      <c r="G27" s="35">
        <v>100061.7374</v>
      </c>
      <c r="H27" s="35">
        <v>208598.8101</v>
      </c>
    </row>
    <row r="28" spans="2:23" x14ac:dyDescent="0.2">
      <c r="B28" s="240" t="s">
        <v>631</v>
      </c>
      <c r="C28" s="35">
        <v>21283.900699999998</v>
      </c>
      <c r="D28" s="35">
        <v>6085.8185999999996</v>
      </c>
      <c r="E28" s="35">
        <v>11435.5527</v>
      </c>
      <c r="F28" s="35">
        <v>15376.803</v>
      </c>
      <c r="G28" s="35">
        <v>3383.9097999999999</v>
      </c>
      <c r="H28" s="35">
        <v>8182.5954000000002</v>
      </c>
    </row>
    <row r="29" spans="2:23" x14ac:dyDescent="0.2">
      <c r="B29" s="240" t="s">
        <v>84</v>
      </c>
      <c r="C29" s="35">
        <v>383484.02500000002</v>
      </c>
      <c r="D29" s="35">
        <v>198179.8713</v>
      </c>
      <c r="E29" s="35">
        <v>297238.35940000002</v>
      </c>
      <c r="F29" s="35">
        <v>339762.09529999999</v>
      </c>
      <c r="G29" s="35">
        <v>100116.9878</v>
      </c>
      <c r="H29" s="35">
        <v>231011.92629999999</v>
      </c>
    </row>
    <row r="30" spans="2:23" x14ac:dyDescent="0.2">
      <c r="B30" s="240" t="s">
        <v>624</v>
      </c>
      <c r="C30" s="35">
        <v>257332.5877</v>
      </c>
      <c r="D30" s="35">
        <v>3919.4819000000002</v>
      </c>
      <c r="E30" s="35">
        <v>6210.5083999999997</v>
      </c>
      <c r="F30" s="35">
        <v>19367.6967</v>
      </c>
      <c r="G30" s="35">
        <v>1608.5447999999999</v>
      </c>
      <c r="H30" s="35">
        <v>14824.9797</v>
      </c>
      <c r="M30" s="292"/>
      <c r="N30" s="292"/>
      <c r="O30" s="292"/>
      <c r="P30" s="292"/>
      <c r="Q30" s="292"/>
      <c r="R30" s="292"/>
      <c r="S30" s="292"/>
      <c r="T30" s="292"/>
      <c r="U30" s="292"/>
      <c r="V30" s="292"/>
      <c r="W30" s="292"/>
    </row>
    <row r="31" spans="2:23" x14ac:dyDescent="0.2">
      <c r="B31" s="240" t="s">
        <v>85</v>
      </c>
      <c r="C31" s="35">
        <v>11417.4966</v>
      </c>
      <c r="D31" s="35">
        <v>7728.5649999999996</v>
      </c>
      <c r="E31" s="35">
        <v>8646.4711000000007</v>
      </c>
      <c r="F31" s="35">
        <v>12608.779200000001</v>
      </c>
      <c r="G31" s="35">
        <v>9925.0218000000004</v>
      </c>
      <c r="H31" s="35">
        <v>8305.4560000000001</v>
      </c>
    </row>
    <row r="32" spans="2:23" ht="14.25" x14ac:dyDescent="0.2">
      <c r="B32" s="230" t="s">
        <v>429</v>
      </c>
      <c r="C32" s="31">
        <v>914770.74</v>
      </c>
      <c r="D32" s="31">
        <v>365268.42</v>
      </c>
      <c r="E32" s="31">
        <v>686960.44</v>
      </c>
      <c r="F32" s="31">
        <v>723180.16</v>
      </c>
      <c r="G32" s="31">
        <v>215096.2</v>
      </c>
      <c r="H32" s="31">
        <v>470957.63</v>
      </c>
      <c r="L32" s="48"/>
      <c r="M32" s="48"/>
      <c r="N32" s="48"/>
      <c r="O32" s="48"/>
      <c r="P32" s="48"/>
      <c r="Q32" s="48"/>
      <c r="R32" s="48"/>
      <c r="S32" s="48"/>
      <c r="T32" s="48"/>
      <c r="U32" s="48"/>
      <c r="V32" s="48"/>
      <c r="W32" s="48"/>
    </row>
    <row r="33" spans="2:23" x14ac:dyDescent="0.2">
      <c r="B33" s="296" t="s">
        <v>86</v>
      </c>
      <c r="C33" s="297"/>
      <c r="D33" s="297"/>
      <c r="E33" s="297"/>
      <c r="F33" s="297"/>
      <c r="G33" s="297"/>
      <c r="H33" s="297"/>
      <c r="L33" s="48"/>
      <c r="M33" s="48"/>
      <c r="N33" s="48"/>
      <c r="O33" s="48"/>
      <c r="P33" s="48"/>
      <c r="Q33" s="48"/>
      <c r="R33" s="48"/>
      <c r="S33" s="48"/>
      <c r="T33" s="48"/>
      <c r="U33" s="48"/>
      <c r="V33" s="48"/>
      <c r="W33" s="48"/>
    </row>
    <row r="34" spans="2:23" x14ac:dyDescent="0.2">
      <c r="B34" s="230" t="s">
        <v>86</v>
      </c>
      <c r="C34" s="31">
        <v>478403.22</v>
      </c>
      <c r="D34" s="31">
        <v>199888.23</v>
      </c>
      <c r="E34" s="31">
        <v>150017.37</v>
      </c>
      <c r="F34" s="31">
        <v>231553.47</v>
      </c>
      <c r="G34" s="31">
        <v>83173.429999999993</v>
      </c>
      <c r="H34" s="31">
        <v>196897.24</v>
      </c>
      <c r="L34" s="48"/>
      <c r="M34" s="48"/>
      <c r="N34" s="48"/>
      <c r="O34" s="48"/>
      <c r="P34" s="48"/>
      <c r="Q34" s="48"/>
      <c r="R34" s="48"/>
      <c r="S34" s="48"/>
      <c r="T34" s="48"/>
      <c r="U34" s="48"/>
      <c r="V34" s="48"/>
      <c r="W34" s="48"/>
    </row>
    <row r="35" spans="2:23" x14ac:dyDescent="0.2">
      <c r="B35" s="296" t="s">
        <v>32</v>
      </c>
      <c r="C35" s="297"/>
      <c r="D35" s="297"/>
      <c r="E35" s="297"/>
      <c r="F35" s="297"/>
      <c r="G35" s="297"/>
      <c r="H35" s="297"/>
      <c r="L35" s="48"/>
      <c r="M35" s="48"/>
      <c r="N35" s="48"/>
      <c r="O35" s="48"/>
      <c r="P35" s="48"/>
      <c r="Q35" s="48"/>
      <c r="R35" s="48"/>
      <c r="S35" s="48"/>
      <c r="T35" s="48"/>
      <c r="U35" s="48"/>
      <c r="V35" s="48"/>
      <c r="W35" s="48"/>
    </row>
    <row r="36" spans="2:23" ht="14.25" x14ac:dyDescent="0.2">
      <c r="B36" s="230" t="s">
        <v>430</v>
      </c>
      <c r="C36" s="31">
        <v>461122.46</v>
      </c>
      <c r="D36" s="31">
        <v>179898.46</v>
      </c>
      <c r="E36" s="31">
        <v>539546.56000000006</v>
      </c>
      <c r="F36" s="31">
        <v>497424.58</v>
      </c>
      <c r="G36" s="31">
        <v>141730.54</v>
      </c>
      <c r="H36" s="31">
        <v>285740.07</v>
      </c>
      <c r="L36" s="48"/>
      <c r="M36" s="48"/>
      <c r="N36" s="48"/>
      <c r="O36" s="48"/>
      <c r="P36" s="48"/>
      <c r="Q36" s="48"/>
      <c r="R36" s="48"/>
      <c r="S36" s="48"/>
      <c r="T36" s="48"/>
      <c r="U36" s="48"/>
      <c r="V36" s="48"/>
      <c r="W36" s="48"/>
    </row>
    <row r="37" spans="2:23" x14ac:dyDescent="0.2">
      <c r="L37" s="48"/>
      <c r="M37" s="48"/>
      <c r="N37" s="48"/>
      <c r="O37" s="48"/>
      <c r="P37" s="48"/>
      <c r="Q37" s="48"/>
      <c r="R37" s="48"/>
      <c r="S37" s="48"/>
      <c r="T37" s="48"/>
      <c r="U37" s="48"/>
      <c r="V37" s="48"/>
      <c r="W37" s="48"/>
    </row>
    <row r="38" spans="2:23" s="114" customFormat="1" x14ac:dyDescent="0.2">
      <c r="B38" s="300" t="s">
        <v>33</v>
      </c>
      <c r="C38" s="292"/>
      <c r="D38" s="292"/>
      <c r="E38" s="292"/>
      <c r="F38" s="292"/>
      <c r="G38" s="292"/>
      <c r="H38" s="292"/>
      <c r="L38" s="48"/>
      <c r="M38" s="48"/>
      <c r="N38" s="48"/>
      <c r="O38" s="48"/>
      <c r="P38" s="48"/>
      <c r="Q38" s="48"/>
      <c r="R38" s="48"/>
      <c r="S38" s="48"/>
      <c r="T38" s="48"/>
      <c r="U38" s="48"/>
      <c r="V38" s="48"/>
      <c r="W38" s="48"/>
    </row>
    <row r="39" spans="2:23" ht="26.25" customHeight="1" x14ac:dyDescent="0.2">
      <c r="B39" s="298" t="s">
        <v>637</v>
      </c>
      <c r="C39" s="292"/>
      <c r="D39" s="292"/>
      <c r="E39" s="292"/>
      <c r="F39" s="292"/>
      <c r="G39" s="292"/>
      <c r="H39" s="292"/>
      <c r="L39" s="48"/>
      <c r="M39" s="48"/>
      <c r="N39" s="48"/>
      <c r="O39" s="48"/>
      <c r="P39" s="48"/>
      <c r="Q39" s="48"/>
      <c r="R39" s="48"/>
      <c r="S39" s="48"/>
      <c r="T39" s="48"/>
      <c r="U39" s="48"/>
      <c r="V39" s="48"/>
      <c r="W39" s="48"/>
    </row>
    <row r="40" spans="2:23" ht="26.25" customHeight="1" x14ac:dyDescent="0.2">
      <c r="B40" s="298" t="s">
        <v>638</v>
      </c>
      <c r="C40" s="292"/>
      <c r="D40" s="292"/>
      <c r="E40" s="292"/>
      <c r="F40" s="292"/>
      <c r="G40" s="292"/>
      <c r="H40" s="292"/>
      <c r="L40" s="48"/>
      <c r="M40" s="48"/>
      <c r="N40" s="48"/>
      <c r="O40" s="48"/>
      <c r="P40" s="48"/>
      <c r="Q40" s="48"/>
      <c r="R40" s="48"/>
      <c r="S40" s="48"/>
      <c r="T40" s="48"/>
      <c r="U40" s="48"/>
      <c r="V40" s="48"/>
      <c r="W40" s="48"/>
    </row>
    <row r="41" spans="2:23" ht="39.75" customHeight="1" x14ac:dyDescent="0.2">
      <c r="B41" s="298" t="s">
        <v>639</v>
      </c>
      <c r="C41" s="299"/>
      <c r="D41" s="299"/>
      <c r="E41" s="299"/>
      <c r="F41" s="299"/>
      <c r="G41" s="299"/>
      <c r="H41" s="299"/>
    </row>
  </sheetData>
  <mergeCells count="18">
    <mergeCell ref="T30:W30"/>
    <mergeCell ref="B33:H33"/>
    <mergeCell ref="B35:H35"/>
    <mergeCell ref="B41:H41"/>
    <mergeCell ref="B26:H26"/>
    <mergeCell ref="B40:H40"/>
    <mergeCell ref="B39:H39"/>
    <mergeCell ref="M30:S30"/>
    <mergeCell ref="B38:H38"/>
    <mergeCell ref="B6:H6"/>
    <mergeCell ref="B17:H17"/>
    <mergeCell ref="B24:H24"/>
    <mergeCell ref="H3:H4"/>
    <mergeCell ref="B3:B4"/>
    <mergeCell ref="C3:D3"/>
    <mergeCell ref="E3:E4"/>
    <mergeCell ref="F3:F4"/>
    <mergeCell ref="G3:G4"/>
  </mergeCells>
  <pageMargins left="0.78740157480314965" right="0.78740157480314965" top="0.98425196850393704" bottom="0.98425196850393704" header="0.51181102362204722" footer="0.51181102362204722"/>
  <pageSetup paperSize="9" scale="75" orientation="landscape" r:id="rId1"/>
  <headerFooter alignWithMargins="0"/>
  <rowBreaks count="1" manualBreakCount="1">
    <brk id="51" max="1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39</vt:i4>
      </vt:variant>
    </vt:vector>
  </HeadingPairs>
  <TitlesOfParts>
    <vt:vector size="78" baseType="lpstr">
      <vt:lpstr>Inhaltsverzeichnis</vt:lpstr>
      <vt:lpstr>T 1</vt:lpstr>
      <vt:lpstr>T 2</vt:lpstr>
      <vt:lpstr>T 3</vt:lpstr>
      <vt:lpstr>T 4</vt:lpstr>
      <vt:lpstr>T 5</vt:lpstr>
      <vt:lpstr>T 6</vt:lpstr>
      <vt:lpstr>T 7</vt:lpstr>
      <vt:lpstr>T 8</vt:lpstr>
      <vt:lpstr>T 9</vt:lpstr>
      <vt:lpstr>T 10</vt:lpstr>
      <vt:lpstr>T 11a</vt:lpstr>
      <vt:lpstr>T 11b</vt:lpstr>
      <vt:lpstr>T 12a</vt:lpstr>
      <vt:lpstr>T 12b</vt:lpstr>
      <vt:lpstr>T 13a</vt:lpstr>
      <vt:lpstr>T 13b</vt:lpstr>
      <vt:lpstr>T 14a</vt:lpstr>
      <vt:lpstr>T 14b</vt:lpstr>
      <vt:lpstr>T 15a</vt:lpstr>
      <vt:lpstr>T 15b</vt:lpstr>
      <vt:lpstr>T 16</vt:lpstr>
      <vt:lpstr>T 17</vt:lpstr>
      <vt:lpstr>T 18</vt:lpstr>
      <vt:lpstr>T 19</vt:lpstr>
      <vt:lpstr>T 20</vt:lpstr>
      <vt:lpstr>T 21a</vt:lpstr>
      <vt:lpstr>T 21b</vt:lpstr>
      <vt:lpstr>T 22a</vt:lpstr>
      <vt:lpstr>T 22b</vt:lpstr>
      <vt:lpstr>T 23</vt:lpstr>
      <vt:lpstr>T 24</vt:lpstr>
      <vt:lpstr>T 25</vt:lpstr>
      <vt:lpstr>T 26a</vt:lpstr>
      <vt:lpstr>T 26b</vt:lpstr>
      <vt:lpstr>T 27</vt:lpstr>
      <vt:lpstr>T 28</vt:lpstr>
      <vt:lpstr>Gemeindekarte</vt:lpstr>
      <vt:lpstr>Erläuterungen</vt:lpstr>
      <vt:lpstr>Erläuterungen!Druckbereich</vt:lpstr>
      <vt:lpstr>Gemeindekarte!Druckbereich</vt:lpstr>
      <vt:lpstr>Inhaltsverzeichnis!Druckbereich</vt:lpstr>
      <vt:lpstr>'T 1'!Druckbereich</vt:lpstr>
      <vt:lpstr>'T 10'!Druckbereich</vt:lpstr>
      <vt:lpstr>'T 11a'!Druckbereich</vt:lpstr>
      <vt:lpstr>'T 11b'!Druckbereich</vt:lpstr>
      <vt:lpstr>'T 12a'!Druckbereich</vt:lpstr>
      <vt:lpstr>'T 12b'!Druckbereich</vt:lpstr>
      <vt:lpstr>'T 13a'!Druckbereich</vt:lpstr>
      <vt:lpstr>'T 13b'!Druckbereich</vt:lpstr>
      <vt:lpstr>'T 14a'!Druckbereich</vt:lpstr>
      <vt:lpstr>'T 14b'!Druckbereich</vt:lpstr>
      <vt:lpstr>'T 15a'!Druckbereich</vt:lpstr>
      <vt:lpstr>'T 15b'!Druckbereich</vt:lpstr>
      <vt:lpstr>'T 16'!Druckbereich</vt:lpstr>
      <vt:lpstr>'T 17'!Druckbereich</vt:lpstr>
      <vt:lpstr>'T 18'!Druckbereich</vt:lpstr>
      <vt:lpstr>'T 19'!Druckbereich</vt:lpstr>
      <vt:lpstr>'T 2'!Druckbereich</vt:lpstr>
      <vt:lpstr>'T 20'!Druckbereich</vt:lpstr>
      <vt:lpstr>'T 21a'!Druckbereich</vt:lpstr>
      <vt:lpstr>'T 21b'!Druckbereich</vt:lpstr>
      <vt:lpstr>'T 22a'!Druckbereich</vt:lpstr>
      <vt:lpstr>'T 22b'!Druckbereich</vt:lpstr>
      <vt:lpstr>'T 23'!Druckbereich</vt:lpstr>
      <vt:lpstr>'T 24'!Druckbereich</vt:lpstr>
      <vt:lpstr>'T 25'!Druckbereich</vt:lpstr>
      <vt:lpstr>'T 26a'!Druckbereich</vt:lpstr>
      <vt:lpstr>'T 26b'!Druckbereich</vt:lpstr>
      <vt:lpstr>'T 27'!Druckbereich</vt:lpstr>
      <vt:lpstr>'T 28'!Druckbereich</vt:lpstr>
      <vt:lpstr>'T 3'!Druckbereich</vt:lpstr>
      <vt:lpstr>'T 4'!Druckbereich</vt:lpstr>
      <vt:lpstr>'T 5'!Druckbereich</vt:lpstr>
      <vt:lpstr>'T 6'!Druckbereich</vt:lpstr>
      <vt:lpstr>'T 7'!Druckbereich</vt:lpstr>
      <vt:lpstr>'T 8'!Druckbereich</vt:lpstr>
      <vt:lpstr>'T 9'!Druckbereich</vt:lpstr>
    </vt:vector>
  </TitlesOfParts>
  <Company>KAI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TSCH</dc:creator>
  <cp:lastModifiedBy>Geiger Lisa</cp:lastModifiedBy>
  <cp:lastPrinted>2017-11-13T07:07:15Z</cp:lastPrinted>
  <dcterms:created xsi:type="dcterms:W3CDTF">2013-05-23T13:43:19Z</dcterms:created>
  <dcterms:modified xsi:type="dcterms:W3CDTF">2018-09-06T10:03:55Z</dcterms:modified>
</cp:coreProperties>
</file>