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charts/chart9.xml" ContentType="application/vnd.openxmlformats-officedocument.drawingml.chart+xml"/>
  <Override PartName="/xl/drawings/drawing12.xml" ContentType="application/vnd.openxmlformats-officedocument.drawing+xml"/>
  <Override PartName="/xl/charts/chart10.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11.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12.xml" ContentType="application/vnd.openxmlformats-officedocument.drawingml.chart+xml"/>
  <Override PartName="/xl/drawings/drawing17.xml" ContentType="application/vnd.openxmlformats-officedocument.drawing+xml"/>
  <Override PartName="/xl/charts/chart13.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4.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Publikationen\18_OeffentlicheFinanzen\snat\02_Tabellen\2013\"/>
    </mc:Choice>
  </mc:AlternateContent>
  <bookViews>
    <workbookView xWindow="210" yWindow="1920" windowWidth="25020" windowHeight="12720" tabRatio="945"/>
  </bookViews>
  <sheets>
    <sheet name="Inhaltsverzeichnis" sheetId="1" r:id="rId1"/>
    <sheet name="T 1" sheetId="2" r:id="rId2"/>
    <sheet name="T 2" sheetId="3" r:id="rId3"/>
    <sheet name="T 3" sheetId="7" r:id="rId4"/>
    <sheet name="T 4" sheetId="6" r:id="rId5"/>
    <sheet name="T 5" sheetId="79" r:id="rId6"/>
    <sheet name="T 6" sheetId="38" r:id="rId7"/>
    <sheet name="T 7" sheetId="52" r:id="rId8"/>
    <sheet name="T 8" sheetId="54" r:id="rId9"/>
    <sheet name="T 9" sheetId="55" r:id="rId10"/>
    <sheet name="T 10" sheetId="56" r:id="rId11"/>
    <sheet name="T 11a" sheetId="57" r:id="rId12"/>
    <sheet name="T 11b" sheetId="58" r:id="rId13"/>
    <sheet name="T 12a" sheetId="59" r:id="rId14"/>
    <sheet name="T 12b" sheetId="60" r:id="rId15"/>
    <sheet name="T 13a" sheetId="61" r:id="rId16"/>
    <sheet name="T 13b" sheetId="62" r:id="rId17"/>
    <sheet name="T 14a" sheetId="89" r:id="rId18"/>
    <sheet name="T 14b" sheetId="90" r:id="rId19"/>
    <sheet name="T 15a" sheetId="91" r:id="rId20"/>
    <sheet name="T 15b" sheetId="92" r:id="rId21"/>
    <sheet name="T 16" sheetId="70" r:id="rId22"/>
    <sheet name="T 17" sheetId="71" r:id="rId23"/>
    <sheet name="T 18" sheetId="72" r:id="rId24"/>
    <sheet name="T 19" sheetId="76" r:id="rId25"/>
    <sheet name="T 20" sheetId="77" r:id="rId26"/>
    <sheet name="T 21a" sheetId="73" r:id="rId27"/>
    <sheet name="T 21b" sheetId="85" r:id="rId28"/>
    <sheet name="T 22a" sheetId="74" r:id="rId29"/>
    <sheet name="T 22b" sheetId="86" r:id="rId30"/>
    <sheet name="T 23" sheetId="4" r:id="rId31"/>
    <sheet name="T 24" sheetId="75" r:id="rId32"/>
    <sheet name="T 25" sheetId="78" r:id="rId33"/>
    <sheet name="T 26a" sheetId="84" r:id="rId34"/>
    <sheet name="T 26b" sheetId="87" r:id="rId35"/>
    <sheet name="T 27" sheetId="83" r:id="rId36"/>
    <sheet name="T 28" sheetId="88" r:id="rId37"/>
    <sheet name="Gemeindekarte" sheetId="51" r:id="rId38"/>
    <sheet name="Erläuterungen" sheetId="37" r:id="rId39"/>
  </sheets>
  <definedNames>
    <definedName name="_xlnm.Print_Area" localSheetId="38">Erläuterungen!$A$1:$B$68</definedName>
    <definedName name="_xlnm.Print_Area" localSheetId="37">Gemeindekarte!$A$1:$O$53</definedName>
    <definedName name="_xlnm.Print_Area" localSheetId="0">Inhaltsverzeichnis!$A$1:$K$73</definedName>
    <definedName name="_xlnm.Print_Area" localSheetId="1">'T 1'!$A$1:$J$69</definedName>
    <definedName name="_xlnm.Print_Area" localSheetId="10">'T 10'!$A$1:$L$40</definedName>
    <definedName name="_xlnm.Print_Area" localSheetId="11">'T 11a'!$A$1:$L$19</definedName>
    <definedName name="_xlnm.Print_Area" localSheetId="12">'T 11b'!$A$1:$L$18</definedName>
    <definedName name="_xlnm.Print_Area" localSheetId="13">'T 12a'!$A$1:$L$19</definedName>
    <definedName name="_xlnm.Print_Area" localSheetId="14">'T 12b'!$A$1:$L$18</definedName>
    <definedName name="_xlnm.Print_Area" localSheetId="15">'T 13a'!$A$1:$L$21</definedName>
    <definedName name="_xlnm.Print_Area" localSheetId="16">'T 13b'!$A$1:$L$20</definedName>
    <definedName name="_xlnm.Print_Area" localSheetId="17">'T 14a'!$A$1:$N$20</definedName>
    <definedName name="_xlnm.Print_Area" localSheetId="18">'T 14b'!$A$1:$N$19</definedName>
    <definedName name="_xlnm.Print_Area" localSheetId="19">'T 15a'!$A$1:$O$20</definedName>
    <definedName name="_xlnm.Print_Area" localSheetId="20">'T 15b'!$A$1:$O$19</definedName>
    <definedName name="_xlnm.Print_Area" localSheetId="21">'T 16'!$A$1:$L$19</definedName>
    <definedName name="_xlnm.Print_Area" localSheetId="22">'T 17'!$A$1:$L$18</definedName>
    <definedName name="_xlnm.Print_Area" localSheetId="23">'T 18'!$A$1:$K$40</definedName>
    <definedName name="_xlnm.Print_Area" localSheetId="24">'T 19'!$A$1:$N$19</definedName>
    <definedName name="_xlnm.Print_Area" localSheetId="2">'T 2'!$A$1:$G$20</definedName>
    <definedName name="_xlnm.Print_Area" localSheetId="25">'T 20'!$A$1:$N$18</definedName>
    <definedName name="_xlnm.Print_Area" localSheetId="26">'T 21a'!$A$1:$N$19</definedName>
    <definedName name="_xlnm.Print_Area" localSheetId="27">'T 21b'!$A$1:$N$47</definedName>
    <definedName name="_xlnm.Print_Area" localSheetId="28">'T 22a'!$A$1:$N$18</definedName>
    <definedName name="_xlnm.Print_Area" localSheetId="29">'T 22b'!$A$1:$N$47</definedName>
    <definedName name="_xlnm.Print_Area" localSheetId="30">'T 23'!$A$1:$L$16</definedName>
    <definedName name="_xlnm.Print_Area" localSheetId="31">'T 24'!$A$1:$N$48</definedName>
    <definedName name="_xlnm.Print_Area" localSheetId="32">'T 25'!$A$1:$N$50</definedName>
    <definedName name="_xlnm.Print_Area" localSheetId="33">'T 26a'!$A$1:$M$47</definedName>
    <definedName name="_xlnm.Print_Area" localSheetId="34">'T 26b'!$A$1:$N$46</definedName>
    <definedName name="_xlnm.Print_Area" localSheetId="35">'T 27'!$A$1:$K$236</definedName>
    <definedName name="_xlnm.Print_Area" localSheetId="36">'T 28'!$A$1:$M$237</definedName>
    <definedName name="_xlnm.Print_Area" localSheetId="3">'T 3'!$A$1:$L$23</definedName>
    <definedName name="_xlnm.Print_Area" localSheetId="4">'T 4'!$A$1:$L$16</definedName>
    <definedName name="_xlnm.Print_Area" localSheetId="5">'T 5'!$A$1:$N$17</definedName>
    <definedName name="_xlnm.Print_Area" localSheetId="6">'T 6'!$A$1:$J$38</definedName>
    <definedName name="_xlnm.Print_Area" localSheetId="7">'T 7'!$A$1:$J$95</definedName>
    <definedName name="_xlnm.Print_Area" localSheetId="8">'T 8'!$A$1:$J$41</definedName>
    <definedName name="_xlnm.Print_Area" localSheetId="9">'T 9'!$A$1:$I$39</definedName>
  </definedNames>
  <calcPr calcId="162913"/>
</workbook>
</file>

<file path=xl/calcChain.xml><?xml version="1.0" encoding="utf-8"?>
<calcChain xmlns="http://schemas.openxmlformats.org/spreadsheetml/2006/main">
  <c r="M6" i="91" l="1"/>
  <c r="N6" i="91"/>
  <c r="M7" i="91"/>
  <c r="N7" i="91"/>
  <c r="M8" i="91"/>
  <c r="N8" i="91"/>
  <c r="M9" i="91"/>
  <c r="N9" i="91"/>
  <c r="M10" i="91"/>
  <c r="N10" i="91"/>
  <c r="M11" i="91"/>
  <c r="N11" i="91"/>
  <c r="M12" i="91"/>
  <c r="N12" i="91"/>
  <c r="M13" i="91"/>
  <c r="N13" i="91"/>
  <c r="M14" i="91"/>
  <c r="N14" i="91"/>
  <c r="M15" i="91"/>
  <c r="N15" i="91"/>
  <c r="K6" i="90"/>
  <c r="L6" i="90"/>
  <c r="M6" i="90"/>
  <c r="K7" i="90"/>
  <c r="L7" i="90"/>
  <c r="M7" i="90"/>
  <c r="K8" i="90"/>
  <c r="L8" i="90"/>
  <c r="M8" i="90"/>
  <c r="K9" i="90"/>
  <c r="L9" i="90"/>
  <c r="M9" i="90"/>
  <c r="K10" i="90"/>
  <c r="L10" i="90"/>
  <c r="M10" i="90"/>
  <c r="K11" i="90"/>
  <c r="L11" i="90"/>
  <c r="M11" i="90"/>
  <c r="K12" i="90"/>
  <c r="L12" i="90"/>
  <c r="M12" i="90"/>
  <c r="K13" i="90"/>
  <c r="L13" i="90"/>
  <c r="M13" i="90"/>
  <c r="K6" i="89"/>
  <c r="L6" i="89"/>
  <c r="M6" i="89"/>
  <c r="N6" i="89"/>
  <c r="K7" i="89"/>
  <c r="L7" i="89"/>
  <c r="M7" i="89"/>
  <c r="N7" i="89"/>
  <c r="K8" i="89"/>
  <c r="L8" i="89"/>
  <c r="M8" i="89"/>
  <c r="N8" i="89"/>
  <c r="K9" i="89"/>
  <c r="L9" i="89"/>
  <c r="M9" i="89"/>
  <c r="N9" i="89"/>
  <c r="K10" i="89"/>
  <c r="L10" i="89"/>
  <c r="M10" i="89"/>
  <c r="N10" i="89"/>
  <c r="K11" i="89"/>
  <c r="L11" i="89"/>
  <c r="M11" i="89"/>
  <c r="N11" i="89"/>
  <c r="K12" i="89"/>
  <c r="L12" i="89"/>
  <c r="M12" i="89"/>
  <c r="N12" i="89"/>
  <c r="K13" i="89"/>
  <c r="L13" i="89"/>
  <c r="M13" i="89"/>
  <c r="N13" i="89"/>
  <c r="B1" i="51" l="1"/>
  <c r="Q33" i="87" l="1"/>
  <c r="F5" i="76" l="1"/>
  <c r="H5" i="76"/>
  <c r="J5" i="76"/>
  <c r="L5" i="76"/>
  <c r="N5" i="76"/>
  <c r="P51" i="52" l="1"/>
  <c r="C16" i="6"/>
  <c r="G17" i="3"/>
  <c r="R58" i="2"/>
  <c r="I31" i="2"/>
  <c r="T58" i="2" s="1"/>
  <c r="H31" i="2"/>
  <c r="S58" i="2" s="1"/>
  <c r="G31" i="2"/>
  <c r="F31" i="2"/>
  <c r="E31" i="2"/>
  <c r="Q58" i="2" s="1"/>
  <c r="D31" i="2"/>
  <c r="C31" i="2"/>
  <c r="P58" i="2" s="1"/>
  <c r="B1" i="88" l="1"/>
  <c r="F15" i="87" l="1"/>
  <c r="E15" i="87"/>
  <c r="D15" i="87"/>
  <c r="F14" i="87"/>
  <c r="E14" i="87"/>
  <c r="D14" i="87"/>
  <c r="F13" i="87"/>
  <c r="E13" i="87"/>
  <c r="D13" i="87"/>
  <c r="F12" i="87"/>
  <c r="E12" i="87"/>
  <c r="D12" i="87"/>
  <c r="F11" i="87"/>
  <c r="E11" i="87"/>
  <c r="D11" i="87"/>
  <c r="F10" i="87"/>
  <c r="E10" i="87"/>
  <c r="D10" i="87"/>
  <c r="F9" i="87"/>
  <c r="E9" i="87"/>
  <c r="D9" i="87"/>
  <c r="F8" i="87"/>
  <c r="E8" i="87"/>
  <c r="D8" i="87"/>
  <c r="F7" i="87"/>
  <c r="E7" i="87"/>
  <c r="D7" i="87"/>
  <c r="F6" i="87"/>
  <c r="E6" i="87"/>
  <c r="D6" i="87"/>
  <c r="F5" i="87"/>
  <c r="E5" i="87"/>
  <c r="D5" i="87"/>
  <c r="F4" i="87"/>
  <c r="T33" i="87" s="1"/>
  <c r="E4" i="87"/>
  <c r="S33" i="87" s="1"/>
  <c r="D4" i="87"/>
  <c r="R33" i="87" s="1"/>
  <c r="P79" i="52" l="1"/>
  <c r="P80" i="52"/>
  <c r="P81" i="52"/>
  <c r="P82" i="52"/>
  <c r="P83" i="52"/>
  <c r="P84" i="52"/>
  <c r="P85" i="52"/>
  <c r="P78" i="52"/>
  <c r="P52" i="52"/>
  <c r="P53" i="52"/>
  <c r="P54" i="52"/>
  <c r="P55" i="52"/>
  <c r="P56" i="52"/>
  <c r="P57" i="52"/>
  <c r="G16" i="3" l="1"/>
  <c r="R32" i="87" l="1"/>
  <c r="S32" i="87"/>
  <c r="T32" i="87"/>
  <c r="Q32" i="87"/>
  <c r="F7" i="78"/>
  <c r="F8" i="78"/>
  <c r="F9" i="78"/>
  <c r="F10" i="78"/>
  <c r="F11" i="78"/>
  <c r="F12" i="78"/>
  <c r="F13" i="78"/>
  <c r="F14" i="78"/>
  <c r="F15" i="78"/>
  <c r="F16" i="78"/>
  <c r="F17" i="78"/>
  <c r="F18" i="78"/>
  <c r="V19" i="86" l="1"/>
  <c r="U19" i="86"/>
  <c r="T19" i="86"/>
  <c r="S19" i="86"/>
  <c r="R19" i="86"/>
  <c r="Q19" i="86"/>
  <c r="V18" i="86"/>
  <c r="U18" i="86"/>
  <c r="T18" i="86"/>
  <c r="S18" i="86"/>
  <c r="R18" i="86"/>
  <c r="Q18" i="86"/>
  <c r="W20" i="85"/>
  <c r="V20" i="85"/>
  <c r="U20" i="85"/>
  <c r="T20" i="85"/>
  <c r="S20" i="85"/>
  <c r="R20" i="85"/>
  <c r="Q20" i="85"/>
  <c r="W19" i="85"/>
  <c r="V19" i="85"/>
  <c r="U19" i="85"/>
  <c r="T19" i="85"/>
  <c r="S19" i="85"/>
  <c r="R19" i="85"/>
  <c r="Q19" i="85"/>
  <c r="I30" i="2" l="1"/>
  <c r="T57" i="2" s="1"/>
  <c r="H30" i="2"/>
  <c r="S57" i="2" s="1"/>
  <c r="G30" i="2"/>
  <c r="F30" i="2"/>
  <c r="R57" i="2" s="1"/>
  <c r="E30" i="2"/>
  <c r="Q57" i="2" s="1"/>
  <c r="D30" i="2"/>
  <c r="C30" i="2"/>
  <c r="P57" i="2" s="1"/>
  <c r="Q46" i="2" l="1"/>
  <c r="R46" i="2"/>
  <c r="S46" i="2"/>
  <c r="T46" i="2"/>
  <c r="P46" i="2"/>
  <c r="B1" i="92" l="1"/>
  <c r="L17" i="92"/>
  <c r="K17" i="92"/>
  <c r="J17" i="92"/>
  <c r="I17" i="92"/>
  <c r="H17" i="92"/>
  <c r="G17" i="92"/>
  <c r="F17" i="92"/>
  <c r="E17" i="92"/>
  <c r="D17" i="92"/>
  <c r="C17" i="92"/>
  <c r="N16" i="92"/>
  <c r="M16" i="92"/>
  <c r="N15" i="92"/>
  <c r="M15" i="92"/>
  <c r="N14" i="92"/>
  <c r="M14" i="92"/>
  <c r="N13" i="92"/>
  <c r="M13" i="92"/>
  <c r="N12" i="92"/>
  <c r="M12" i="92"/>
  <c r="N11" i="92"/>
  <c r="M11" i="92"/>
  <c r="N10" i="92"/>
  <c r="M10" i="92"/>
  <c r="N9" i="92"/>
  <c r="M9" i="92"/>
  <c r="N8" i="92"/>
  <c r="M8" i="92"/>
  <c r="N7" i="92"/>
  <c r="M7" i="92"/>
  <c r="N6" i="92"/>
  <c r="M6" i="92"/>
  <c r="N16" i="91"/>
  <c r="N17" i="91"/>
  <c r="M16" i="91"/>
  <c r="M17" i="91"/>
  <c r="B1" i="91"/>
  <c r="J18" i="91"/>
  <c r="I18" i="91"/>
  <c r="H18" i="91"/>
  <c r="G18" i="91"/>
  <c r="F18" i="91"/>
  <c r="E18" i="91"/>
  <c r="D18" i="91"/>
  <c r="C18" i="91"/>
  <c r="B1" i="90"/>
  <c r="J17" i="90"/>
  <c r="I17" i="90"/>
  <c r="H17" i="90"/>
  <c r="G17" i="90"/>
  <c r="F17" i="90"/>
  <c r="E17" i="90"/>
  <c r="D17" i="90"/>
  <c r="C17" i="90"/>
  <c r="N16" i="90"/>
  <c r="M16" i="90"/>
  <c r="L16" i="90"/>
  <c r="K16" i="90"/>
  <c r="N15" i="90"/>
  <c r="M15" i="90"/>
  <c r="L15" i="90"/>
  <c r="K15" i="90"/>
  <c r="N14" i="90"/>
  <c r="M14" i="90"/>
  <c r="L14" i="90"/>
  <c r="K14" i="90"/>
  <c r="K17" i="90" s="1"/>
  <c r="N13" i="90"/>
  <c r="N12" i="90"/>
  <c r="N11" i="90"/>
  <c r="N10" i="90"/>
  <c r="N9" i="90"/>
  <c r="N8" i="90"/>
  <c r="N7" i="90"/>
  <c r="N6" i="90"/>
  <c r="B1" i="89"/>
  <c r="N14" i="89"/>
  <c r="N15" i="89"/>
  <c r="N16" i="89"/>
  <c r="N17" i="89"/>
  <c r="M14" i="89"/>
  <c r="M15" i="89"/>
  <c r="M16" i="89"/>
  <c r="M17" i="89"/>
  <c r="L14" i="89"/>
  <c r="L15" i="89"/>
  <c r="L16" i="89"/>
  <c r="L17" i="89"/>
  <c r="K14" i="89"/>
  <c r="K15" i="89"/>
  <c r="K16" i="89"/>
  <c r="K17" i="89"/>
  <c r="J18" i="89"/>
  <c r="I18" i="89"/>
  <c r="H18" i="89"/>
  <c r="G18" i="89"/>
  <c r="F18" i="89"/>
  <c r="E18" i="89"/>
  <c r="D18" i="89"/>
  <c r="C18" i="89"/>
  <c r="N17" i="90" l="1"/>
  <c r="L18" i="89"/>
  <c r="N18" i="89"/>
  <c r="K18" i="89"/>
  <c r="M18" i="89"/>
  <c r="N18" i="91"/>
  <c r="M17" i="92"/>
  <c r="N17" i="92"/>
  <c r="K18" i="91"/>
  <c r="L18" i="91"/>
  <c r="M18" i="91"/>
  <c r="M17" i="90"/>
  <c r="L17" i="90"/>
  <c r="G14" i="3"/>
  <c r="G12" i="3"/>
  <c r="G10" i="3"/>
  <c r="G8" i="3"/>
  <c r="G6" i="3"/>
  <c r="I21" i="2"/>
  <c r="T48" i="2" s="1"/>
  <c r="I22" i="2"/>
  <c r="T49" i="2" s="1"/>
  <c r="I23" i="2"/>
  <c r="T50" i="2" s="1"/>
  <c r="I24" i="2"/>
  <c r="T51" i="2" s="1"/>
  <c r="I25" i="2"/>
  <c r="T52" i="2" s="1"/>
  <c r="I26" i="2"/>
  <c r="T53" i="2" s="1"/>
  <c r="I27" i="2"/>
  <c r="T54" i="2" s="1"/>
  <c r="I28" i="2"/>
  <c r="T55" i="2" s="1"/>
  <c r="I29" i="2"/>
  <c r="T56" i="2" s="1"/>
  <c r="I20" i="2"/>
  <c r="T47" i="2" s="1"/>
  <c r="H21" i="2"/>
  <c r="S48" i="2" s="1"/>
  <c r="H22" i="2"/>
  <c r="S49" i="2" s="1"/>
  <c r="H23" i="2"/>
  <c r="S50" i="2" s="1"/>
  <c r="H24" i="2"/>
  <c r="S51" i="2" s="1"/>
  <c r="H25" i="2"/>
  <c r="S52" i="2" s="1"/>
  <c r="H26" i="2"/>
  <c r="S53" i="2" s="1"/>
  <c r="H27" i="2"/>
  <c r="S54" i="2" s="1"/>
  <c r="H28" i="2"/>
  <c r="S55" i="2" s="1"/>
  <c r="H29" i="2"/>
  <c r="S56" i="2" s="1"/>
  <c r="H20" i="2"/>
  <c r="S47" i="2" s="1"/>
  <c r="G21" i="2"/>
  <c r="G22" i="2"/>
  <c r="G23" i="2"/>
  <c r="G24" i="2"/>
  <c r="G25" i="2"/>
  <c r="G26" i="2"/>
  <c r="G27" i="2"/>
  <c r="G28" i="2"/>
  <c r="G29" i="2"/>
  <c r="G20" i="2"/>
  <c r="F21" i="2"/>
  <c r="R48" i="2" s="1"/>
  <c r="F22" i="2"/>
  <c r="R49" i="2" s="1"/>
  <c r="F23" i="2"/>
  <c r="R50" i="2" s="1"/>
  <c r="F24" i="2"/>
  <c r="R51" i="2" s="1"/>
  <c r="F25" i="2"/>
  <c r="R52" i="2" s="1"/>
  <c r="F26" i="2"/>
  <c r="R53" i="2" s="1"/>
  <c r="F27" i="2"/>
  <c r="R54" i="2" s="1"/>
  <c r="F28" i="2"/>
  <c r="R55" i="2" s="1"/>
  <c r="F20" i="2"/>
  <c r="R47" i="2" s="1"/>
  <c r="E28" i="2"/>
  <c r="Q55" i="2" s="1"/>
  <c r="E29" i="2"/>
  <c r="Q56" i="2" s="1"/>
  <c r="E26" i="2"/>
  <c r="Q53" i="2" s="1"/>
  <c r="E27" i="2"/>
  <c r="Q54" i="2" s="1"/>
  <c r="E25" i="2"/>
  <c r="Q52" i="2" s="1"/>
  <c r="E24" i="2"/>
  <c r="Q51" i="2" s="1"/>
  <c r="E23" i="2"/>
  <c r="Q50" i="2" s="1"/>
  <c r="E22" i="2"/>
  <c r="Q49" i="2" s="1"/>
  <c r="E21" i="2"/>
  <c r="Q48" i="2" s="1"/>
  <c r="E20" i="2"/>
  <c r="Q47" i="2" s="1"/>
  <c r="D22" i="2"/>
  <c r="D23" i="2"/>
  <c r="D24" i="2"/>
  <c r="D25" i="2"/>
  <c r="D26" i="2"/>
  <c r="D27" i="2"/>
  <c r="D28" i="2"/>
  <c r="D29" i="2"/>
  <c r="D20" i="2"/>
  <c r="C21" i="2"/>
  <c r="P48" i="2" s="1"/>
  <c r="C22" i="2"/>
  <c r="P49" i="2" s="1"/>
  <c r="C23" i="2"/>
  <c r="P50" i="2" s="1"/>
  <c r="C24" i="2"/>
  <c r="P51" i="2" s="1"/>
  <c r="C25" i="2"/>
  <c r="P52" i="2" s="1"/>
  <c r="C26" i="2"/>
  <c r="P53" i="2" s="1"/>
  <c r="C27" i="2"/>
  <c r="P54" i="2" s="1"/>
  <c r="C28" i="2"/>
  <c r="P55" i="2" s="1"/>
  <c r="C29" i="2"/>
  <c r="P56" i="2" s="1"/>
  <c r="C20" i="2"/>
  <c r="P47" i="2" s="1"/>
  <c r="Q22" i="87" l="1"/>
  <c r="T23" i="87"/>
  <c r="T24" i="87"/>
  <c r="T25" i="87"/>
  <c r="T26" i="87"/>
  <c r="T27" i="87"/>
  <c r="T28" i="87"/>
  <c r="T29" i="87"/>
  <c r="T30" i="87"/>
  <c r="T31" i="87"/>
  <c r="T22" i="87"/>
  <c r="S23" i="87"/>
  <c r="S24" i="87"/>
  <c r="S25" i="87"/>
  <c r="S26" i="87"/>
  <c r="S27" i="87"/>
  <c r="S28" i="87"/>
  <c r="S29" i="87"/>
  <c r="S30" i="87"/>
  <c r="S31" i="87"/>
  <c r="S22" i="87"/>
  <c r="R23" i="87"/>
  <c r="R24" i="87"/>
  <c r="R25" i="87"/>
  <c r="R26" i="87"/>
  <c r="R27" i="87"/>
  <c r="R28" i="87"/>
  <c r="R29" i="87"/>
  <c r="R30" i="87"/>
  <c r="R31" i="87"/>
  <c r="R22" i="87"/>
  <c r="Q23" i="87"/>
  <c r="Q24" i="87"/>
  <c r="Q25" i="87"/>
  <c r="Q26" i="87"/>
  <c r="Q27" i="87"/>
  <c r="Q28" i="87"/>
  <c r="Q29" i="87"/>
  <c r="Q30" i="87"/>
  <c r="Q31" i="87"/>
  <c r="R21" i="87"/>
  <c r="S21" i="87"/>
  <c r="T21" i="87"/>
  <c r="B1" i="87"/>
  <c r="B1" i="85"/>
  <c r="B1" i="86"/>
  <c r="M11" i="86" l="1"/>
  <c r="K11" i="86"/>
  <c r="W19" i="86" s="1"/>
  <c r="I11" i="86"/>
  <c r="G11" i="86"/>
  <c r="E11" i="86"/>
  <c r="C11" i="86"/>
  <c r="W18" i="86" s="1"/>
  <c r="N10" i="86"/>
  <c r="L10" i="86"/>
  <c r="J10" i="86"/>
  <c r="H10" i="86"/>
  <c r="F10" i="86"/>
  <c r="D10" i="86"/>
  <c r="N9" i="86"/>
  <c r="L9" i="86"/>
  <c r="J9" i="86"/>
  <c r="H9" i="86"/>
  <c r="F9" i="86"/>
  <c r="D9" i="86"/>
  <c r="N8" i="86"/>
  <c r="L8" i="86"/>
  <c r="J8" i="86"/>
  <c r="H8" i="86"/>
  <c r="F8" i="86"/>
  <c r="D8" i="86"/>
  <c r="N7" i="86"/>
  <c r="L7" i="86"/>
  <c r="J7" i="86"/>
  <c r="H7" i="86"/>
  <c r="F7" i="86"/>
  <c r="D7" i="86"/>
  <c r="N6" i="86"/>
  <c r="L6" i="86"/>
  <c r="J6" i="86"/>
  <c r="H6" i="86"/>
  <c r="F6" i="86"/>
  <c r="D6" i="86"/>
  <c r="N5" i="86"/>
  <c r="L5" i="86"/>
  <c r="J5" i="86"/>
  <c r="H5" i="86"/>
  <c r="F5" i="86"/>
  <c r="D5" i="86"/>
  <c r="M12" i="85"/>
  <c r="K12" i="85"/>
  <c r="I12" i="85"/>
  <c r="X20" i="85" s="1"/>
  <c r="G12" i="85"/>
  <c r="E12" i="85"/>
  <c r="C12" i="85"/>
  <c r="X19" i="85" s="1"/>
  <c r="N11" i="85"/>
  <c r="L11" i="85"/>
  <c r="J11" i="85"/>
  <c r="H11" i="85"/>
  <c r="F11" i="85"/>
  <c r="D11" i="85"/>
  <c r="N10" i="85"/>
  <c r="L10" i="85"/>
  <c r="J10" i="85"/>
  <c r="H10" i="85"/>
  <c r="F10" i="85"/>
  <c r="D10" i="85"/>
  <c r="N9" i="85"/>
  <c r="L9" i="85"/>
  <c r="J9" i="85"/>
  <c r="H9" i="85"/>
  <c r="F9" i="85"/>
  <c r="D9" i="85"/>
  <c r="N8" i="85"/>
  <c r="L8" i="85"/>
  <c r="J8" i="85"/>
  <c r="H8" i="85"/>
  <c r="F8" i="85"/>
  <c r="D8" i="85"/>
  <c r="N7" i="85"/>
  <c r="L7" i="85"/>
  <c r="J7" i="85"/>
  <c r="H7" i="85"/>
  <c r="F7" i="85"/>
  <c r="D7" i="85"/>
  <c r="N6" i="85"/>
  <c r="L6" i="85"/>
  <c r="J6" i="85"/>
  <c r="H6" i="85"/>
  <c r="F6" i="85"/>
  <c r="D6" i="85"/>
  <c r="N5" i="85"/>
  <c r="L5" i="85"/>
  <c r="J5" i="85"/>
  <c r="H5" i="85"/>
  <c r="F5" i="85"/>
  <c r="D5" i="85"/>
  <c r="T21" i="86" l="1"/>
  <c r="U21" i="86"/>
  <c r="R21" i="86"/>
  <c r="V21" i="86"/>
  <c r="S21" i="86"/>
  <c r="Q21" i="86"/>
  <c r="T20" i="86"/>
  <c r="U20" i="86"/>
  <c r="R20" i="86"/>
  <c r="V20" i="86"/>
  <c r="Q20" i="86"/>
  <c r="S20" i="86"/>
  <c r="X22" i="85"/>
  <c r="U22" i="85"/>
  <c r="T22" i="85"/>
  <c r="W22" i="85"/>
  <c r="V22" i="85"/>
  <c r="S22" i="85"/>
  <c r="Q22" i="85"/>
  <c r="R22" i="85"/>
  <c r="Q21" i="85"/>
  <c r="U21" i="85"/>
  <c r="X21" i="85"/>
  <c r="S21" i="85"/>
  <c r="R21" i="85"/>
  <c r="W21" i="85"/>
  <c r="V21" i="85"/>
  <c r="T21" i="85"/>
  <c r="N12" i="85"/>
  <c r="H12" i="85"/>
  <c r="F12" i="85"/>
  <c r="N11" i="86"/>
  <c r="L11" i="86"/>
  <c r="J11" i="86"/>
  <c r="F11" i="86"/>
  <c r="D11" i="86"/>
  <c r="H11" i="86"/>
  <c r="J12" i="85"/>
  <c r="D12" i="85"/>
  <c r="L12" i="85"/>
  <c r="B1" i="84"/>
  <c r="D5" i="70" l="1"/>
  <c r="F14" i="7" l="1"/>
  <c r="F15" i="7"/>
  <c r="F16" i="7"/>
  <c r="G15" i="3"/>
  <c r="F29" i="2"/>
  <c r="R56" i="2" s="1"/>
  <c r="B1" i="83" l="1"/>
  <c r="B1" i="79"/>
  <c r="K36" i="78"/>
  <c r="K37" i="78"/>
  <c r="K38" i="78"/>
  <c r="K39" i="78"/>
  <c r="K40" i="78"/>
  <c r="K41" i="78"/>
  <c r="K42" i="78"/>
  <c r="K43" i="78"/>
  <c r="K44" i="78"/>
  <c r="K45" i="78"/>
  <c r="K46" i="78"/>
  <c r="J36" i="78"/>
  <c r="J37" i="78"/>
  <c r="J38" i="78"/>
  <c r="J39" i="78"/>
  <c r="J40" i="78"/>
  <c r="J41" i="78"/>
  <c r="J42" i="78"/>
  <c r="J43" i="78"/>
  <c r="J44" i="78"/>
  <c r="J45" i="78"/>
  <c r="J46" i="78"/>
  <c r="J35" i="78"/>
  <c r="I36" i="78"/>
  <c r="I37" i="78"/>
  <c r="I38" i="78"/>
  <c r="I39" i="78"/>
  <c r="I40" i="78"/>
  <c r="I41" i="78"/>
  <c r="I42" i="78"/>
  <c r="I43" i="78"/>
  <c r="I44" i="78"/>
  <c r="I45" i="78"/>
  <c r="I46" i="78"/>
  <c r="I35" i="78"/>
  <c r="H36" i="78"/>
  <c r="H37" i="78"/>
  <c r="H38" i="78"/>
  <c r="H39" i="78"/>
  <c r="H40" i="78"/>
  <c r="H41" i="78"/>
  <c r="H42" i="78"/>
  <c r="H43" i="78"/>
  <c r="H44" i="78"/>
  <c r="H45" i="78"/>
  <c r="H46" i="78"/>
  <c r="H35" i="78"/>
  <c r="F36" i="78"/>
  <c r="F37" i="78"/>
  <c r="F38" i="78"/>
  <c r="F39" i="78"/>
  <c r="F40" i="78"/>
  <c r="F41" i="78"/>
  <c r="F42" i="78"/>
  <c r="F43" i="78"/>
  <c r="F44" i="78"/>
  <c r="F45" i="78"/>
  <c r="F46" i="78"/>
  <c r="D36" i="78"/>
  <c r="D37" i="78"/>
  <c r="D38" i="78"/>
  <c r="D39" i="78"/>
  <c r="D40" i="78"/>
  <c r="D41" i="78"/>
  <c r="D42" i="78"/>
  <c r="D43" i="78"/>
  <c r="D44" i="78"/>
  <c r="D45" i="78"/>
  <c r="D46" i="78"/>
  <c r="D35" i="78"/>
  <c r="G47" i="78"/>
  <c r="E47" i="78"/>
  <c r="C47" i="78"/>
  <c r="K22" i="78"/>
  <c r="K23" i="78"/>
  <c r="K24" i="78"/>
  <c r="K25" i="78"/>
  <c r="K26" i="78"/>
  <c r="K27" i="78"/>
  <c r="K28" i="78"/>
  <c r="K29" i="78"/>
  <c r="K30" i="78"/>
  <c r="K31" i="78"/>
  <c r="K32" i="78"/>
  <c r="J22" i="78"/>
  <c r="J23" i="78"/>
  <c r="J24" i="78"/>
  <c r="J25" i="78"/>
  <c r="J26" i="78"/>
  <c r="J27" i="78"/>
  <c r="J28" i="78"/>
  <c r="J29" i="78"/>
  <c r="J30" i="78"/>
  <c r="J31" i="78"/>
  <c r="J32" i="78"/>
  <c r="J21" i="78"/>
  <c r="I22" i="78"/>
  <c r="I23" i="78"/>
  <c r="I24" i="78"/>
  <c r="I25" i="78"/>
  <c r="I26" i="78"/>
  <c r="I27" i="78"/>
  <c r="I28" i="78"/>
  <c r="I29" i="78"/>
  <c r="I30" i="78"/>
  <c r="I31" i="78"/>
  <c r="I32" i="78"/>
  <c r="I21" i="78"/>
  <c r="H22" i="78"/>
  <c r="H23" i="78"/>
  <c r="H24" i="78"/>
  <c r="H25" i="78"/>
  <c r="H26" i="78"/>
  <c r="H27" i="78"/>
  <c r="H28" i="78"/>
  <c r="H29" i="78"/>
  <c r="H30" i="78"/>
  <c r="H31" i="78"/>
  <c r="H32" i="78"/>
  <c r="H21" i="78"/>
  <c r="F22" i="78"/>
  <c r="F23" i="78"/>
  <c r="F24" i="78"/>
  <c r="F25" i="78"/>
  <c r="F26" i="78"/>
  <c r="F27" i="78"/>
  <c r="F28" i="78"/>
  <c r="F29" i="78"/>
  <c r="F30" i="78"/>
  <c r="F31" i="78"/>
  <c r="F32" i="78"/>
  <c r="F21" i="78"/>
  <c r="D22" i="78"/>
  <c r="D23" i="78"/>
  <c r="D24" i="78"/>
  <c r="D25" i="78"/>
  <c r="D26" i="78"/>
  <c r="D27" i="78"/>
  <c r="D28" i="78"/>
  <c r="D29" i="78"/>
  <c r="D30" i="78"/>
  <c r="D31" i="78"/>
  <c r="D32" i="78"/>
  <c r="D21" i="78"/>
  <c r="G33" i="78"/>
  <c r="E33" i="78"/>
  <c r="C33" i="78"/>
  <c r="K9" i="78"/>
  <c r="K10" i="78"/>
  <c r="K11" i="78"/>
  <c r="K12" i="78"/>
  <c r="K13" i="78"/>
  <c r="K14" i="78"/>
  <c r="K15" i="78"/>
  <c r="K16" i="78"/>
  <c r="K17" i="78"/>
  <c r="K18" i="78"/>
  <c r="I18" i="78"/>
  <c r="I8" i="78"/>
  <c r="I9" i="78"/>
  <c r="I10" i="78"/>
  <c r="I11" i="78"/>
  <c r="I12" i="78"/>
  <c r="I13" i="78"/>
  <c r="I14" i="78"/>
  <c r="I15" i="78"/>
  <c r="I16" i="78"/>
  <c r="I17" i="78"/>
  <c r="I7" i="78"/>
  <c r="K8" i="78"/>
  <c r="J8" i="78"/>
  <c r="J9" i="78"/>
  <c r="J10" i="78"/>
  <c r="J11" i="78"/>
  <c r="J12" i="78"/>
  <c r="J13" i="78"/>
  <c r="J14" i="78"/>
  <c r="J15" i="78"/>
  <c r="J16" i="78"/>
  <c r="J17" i="78"/>
  <c r="J18" i="78"/>
  <c r="J7" i="78"/>
  <c r="H8" i="78"/>
  <c r="H9" i="78"/>
  <c r="H10" i="78"/>
  <c r="H11" i="78"/>
  <c r="H12" i="78"/>
  <c r="H13" i="78"/>
  <c r="H14" i="78"/>
  <c r="H15" i="78"/>
  <c r="H16" i="78"/>
  <c r="H17" i="78"/>
  <c r="H18" i="78"/>
  <c r="H7" i="78"/>
  <c r="E19" i="78"/>
  <c r="G19" i="78"/>
  <c r="D8" i="78"/>
  <c r="D9" i="78"/>
  <c r="D10" i="78"/>
  <c r="D11" i="78"/>
  <c r="D12" i="78"/>
  <c r="D13" i="78"/>
  <c r="D14" i="78"/>
  <c r="D15" i="78"/>
  <c r="D16" i="78"/>
  <c r="D17" i="78"/>
  <c r="D18" i="78"/>
  <c r="D7" i="78"/>
  <c r="C19" i="78"/>
  <c r="F19" i="78"/>
  <c r="B1" i="78"/>
  <c r="M40" i="75"/>
  <c r="K40" i="75"/>
  <c r="I40" i="75"/>
  <c r="G40" i="75"/>
  <c r="E40" i="75"/>
  <c r="D18" i="75"/>
  <c r="N16" i="75"/>
  <c r="D25" i="75"/>
  <c r="D26" i="75"/>
  <c r="D28" i="75"/>
  <c r="D29" i="75"/>
  <c r="F25" i="75"/>
  <c r="F26" i="75"/>
  <c r="F28" i="75"/>
  <c r="F29" i="75"/>
  <c r="H25" i="75"/>
  <c r="H26" i="75"/>
  <c r="H28" i="75"/>
  <c r="H29" i="75"/>
  <c r="N15" i="75"/>
  <c r="N14" i="75"/>
  <c r="N13" i="75"/>
  <c r="N12" i="75"/>
  <c r="L16" i="75"/>
  <c r="L15" i="75"/>
  <c r="L14" i="75"/>
  <c r="L13" i="75"/>
  <c r="L12" i="75"/>
  <c r="J16" i="75"/>
  <c r="J15" i="75"/>
  <c r="J14" i="75"/>
  <c r="J13" i="75"/>
  <c r="J12" i="75"/>
  <c r="H16" i="75"/>
  <c r="H15" i="75"/>
  <c r="H14" i="75"/>
  <c r="H13" i="75"/>
  <c r="H12" i="75"/>
  <c r="F16" i="75"/>
  <c r="F15" i="75"/>
  <c r="F14" i="75"/>
  <c r="F13" i="75"/>
  <c r="F12" i="75"/>
  <c r="D13" i="75"/>
  <c r="D14" i="75"/>
  <c r="D15" i="75"/>
  <c r="D16" i="75"/>
  <c r="D12" i="75"/>
  <c r="N7" i="75"/>
  <c r="N8" i="75"/>
  <c r="N9" i="75"/>
  <c r="N10" i="75"/>
  <c r="N6" i="75"/>
  <c r="L7" i="75"/>
  <c r="L8" i="75"/>
  <c r="L9" i="75"/>
  <c r="L10" i="75"/>
  <c r="L6" i="75"/>
  <c r="J7" i="75"/>
  <c r="J8" i="75"/>
  <c r="J9" i="75"/>
  <c r="J10" i="75"/>
  <c r="J6" i="75"/>
  <c r="H7" i="75"/>
  <c r="H8" i="75"/>
  <c r="H9" i="75"/>
  <c r="H10" i="75"/>
  <c r="H6" i="75"/>
  <c r="F7" i="75"/>
  <c r="F8" i="75"/>
  <c r="F9" i="75"/>
  <c r="F10" i="75"/>
  <c r="F6" i="75"/>
  <c r="D7" i="75"/>
  <c r="D8" i="75"/>
  <c r="D9" i="75"/>
  <c r="D10" i="75"/>
  <c r="D6" i="75"/>
  <c r="C40" i="75"/>
  <c r="D19" i="78" l="1"/>
  <c r="I19" i="78"/>
  <c r="I47" i="78"/>
  <c r="J47" i="78"/>
  <c r="J33" i="78"/>
  <c r="K19" i="78"/>
  <c r="J19" i="78"/>
  <c r="N40" i="75"/>
  <c r="L40" i="75"/>
  <c r="J40" i="75"/>
  <c r="H40" i="75"/>
  <c r="F40" i="75"/>
  <c r="D40" i="75"/>
  <c r="H33" i="78"/>
  <c r="K33" i="78"/>
  <c r="F33" i="78"/>
  <c r="D33" i="78"/>
  <c r="I33" i="78"/>
  <c r="H19" i="78"/>
  <c r="H24" i="75"/>
  <c r="H27" i="75"/>
  <c r="F24" i="75"/>
  <c r="F27" i="75"/>
  <c r="H47" i="78"/>
  <c r="F47" i="78"/>
  <c r="K47" i="78"/>
  <c r="D47" i="78"/>
  <c r="C16" i="77"/>
  <c r="E16" i="77"/>
  <c r="G16" i="77"/>
  <c r="I16" i="77"/>
  <c r="K16" i="77"/>
  <c r="M16" i="77"/>
  <c r="B1" i="77"/>
  <c r="B1" i="76"/>
  <c r="N15" i="77"/>
  <c r="L15" i="77"/>
  <c r="J15" i="77"/>
  <c r="H15" i="77"/>
  <c r="F15" i="77"/>
  <c r="D15" i="77"/>
  <c r="N14" i="77"/>
  <c r="L14" i="77"/>
  <c r="J14" i="77"/>
  <c r="H14" i="77"/>
  <c r="F14" i="77"/>
  <c r="D14" i="77"/>
  <c r="N13" i="77"/>
  <c r="L13" i="77"/>
  <c r="J13" i="77"/>
  <c r="H13" i="77"/>
  <c r="F13" i="77"/>
  <c r="D13" i="77"/>
  <c r="N12" i="77"/>
  <c r="L12" i="77"/>
  <c r="J12" i="77"/>
  <c r="H12" i="77"/>
  <c r="F12" i="77"/>
  <c r="D12" i="77"/>
  <c r="N11" i="77"/>
  <c r="L11" i="77"/>
  <c r="J11" i="77"/>
  <c r="H11" i="77"/>
  <c r="F11" i="77"/>
  <c r="D11" i="77"/>
  <c r="N10" i="77"/>
  <c r="L10" i="77"/>
  <c r="J10" i="77"/>
  <c r="H10" i="77"/>
  <c r="F10" i="77"/>
  <c r="D10" i="77"/>
  <c r="N9" i="77"/>
  <c r="L9" i="77"/>
  <c r="J9" i="77"/>
  <c r="H9" i="77"/>
  <c r="F9" i="77"/>
  <c r="D9" i="77"/>
  <c r="N8" i="77"/>
  <c r="L8" i="77"/>
  <c r="J8" i="77"/>
  <c r="H8" i="77"/>
  <c r="F8" i="77"/>
  <c r="D8" i="77"/>
  <c r="N7" i="77"/>
  <c r="L7" i="77"/>
  <c r="J7" i="77"/>
  <c r="H7" i="77"/>
  <c r="F7" i="77"/>
  <c r="D7" i="77"/>
  <c r="N6" i="77"/>
  <c r="L6" i="77"/>
  <c r="J6" i="77"/>
  <c r="H6" i="77"/>
  <c r="F6" i="77"/>
  <c r="D6" i="77"/>
  <c r="N5" i="77"/>
  <c r="L5" i="77"/>
  <c r="J5" i="77"/>
  <c r="H5" i="77"/>
  <c r="F5" i="77"/>
  <c r="D5" i="77"/>
  <c r="M17" i="76"/>
  <c r="K17" i="76"/>
  <c r="I17" i="76"/>
  <c r="G17" i="76"/>
  <c r="E17" i="76"/>
  <c r="C17" i="76"/>
  <c r="N16" i="76"/>
  <c r="L16" i="76"/>
  <c r="J16" i="76"/>
  <c r="H16" i="76"/>
  <c r="F16" i="76"/>
  <c r="D16" i="76"/>
  <c r="N15" i="76"/>
  <c r="L15" i="76"/>
  <c r="J15" i="76"/>
  <c r="H15" i="76"/>
  <c r="F15" i="76"/>
  <c r="D15" i="76"/>
  <c r="N14" i="76"/>
  <c r="L14" i="76"/>
  <c r="J14" i="76"/>
  <c r="H14" i="76"/>
  <c r="F14" i="76"/>
  <c r="D14" i="76"/>
  <c r="N13" i="76"/>
  <c r="L13" i="76"/>
  <c r="J13" i="76"/>
  <c r="H13" i="76"/>
  <c r="F13" i="76"/>
  <c r="D13" i="76"/>
  <c r="N12" i="76"/>
  <c r="L12" i="76"/>
  <c r="J12" i="76"/>
  <c r="H12" i="76"/>
  <c r="F12" i="76"/>
  <c r="D12" i="76"/>
  <c r="N11" i="76"/>
  <c r="L11" i="76"/>
  <c r="J11" i="76"/>
  <c r="H11" i="76"/>
  <c r="F11" i="76"/>
  <c r="D11" i="76"/>
  <c r="N10" i="76"/>
  <c r="L10" i="76"/>
  <c r="J10" i="76"/>
  <c r="H10" i="76"/>
  <c r="F10" i="76"/>
  <c r="D10" i="76"/>
  <c r="N9" i="76"/>
  <c r="L9" i="76"/>
  <c r="J9" i="76"/>
  <c r="H9" i="76"/>
  <c r="F9" i="76"/>
  <c r="D9" i="76"/>
  <c r="N8" i="76"/>
  <c r="L8" i="76"/>
  <c r="J8" i="76"/>
  <c r="H8" i="76"/>
  <c r="F8" i="76"/>
  <c r="D8" i="76"/>
  <c r="N7" i="76"/>
  <c r="L7" i="76"/>
  <c r="J7" i="76"/>
  <c r="H7" i="76"/>
  <c r="F7" i="76"/>
  <c r="D7" i="76"/>
  <c r="N6" i="76"/>
  <c r="L6" i="76"/>
  <c r="J6" i="76"/>
  <c r="H6" i="76"/>
  <c r="F6" i="76"/>
  <c r="D6" i="76"/>
  <c r="D5" i="76"/>
  <c r="E35" i="75"/>
  <c r="G35" i="75"/>
  <c r="I35" i="75"/>
  <c r="K35" i="75"/>
  <c r="M35" i="75"/>
  <c r="C35" i="75"/>
  <c r="E32" i="75"/>
  <c r="G32" i="75"/>
  <c r="H34" i="75" s="1"/>
  <c r="I32" i="75"/>
  <c r="K32" i="75"/>
  <c r="M32" i="75"/>
  <c r="C32" i="75"/>
  <c r="N29" i="75"/>
  <c r="N28" i="75"/>
  <c r="N26" i="75"/>
  <c r="N25" i="75"/>
  <c r="L29" i="75"/>
  <c r="L28" i="75"/>
  <c r="L26" i="75"/>
  <c r="L25" i="75"/>
  <c r="J29" i="75"/>
  <c r="J28" i="75"/>
  <c r="J26" i="75"/>
  <c r="J25" i="75"/>
  <c r="M27" i="75"/>
  <c r="K27" i="75"/>
  <c r="I27" i="75"/>
  <c r="G27" i="75"/>
  <c r="E27" i="75"/>
  <c r="C27" i="75"/>
  <c r="E24" i="75"/>
  <c r="G24" i="75"/>
  <c r="I24" i="75"/>
  <c r="K24" i="75"/>
  <c r="M24" i="75"/>
  <c r="C24" i="75"/>
  <c r="N19" i="75"/>
  <c r="N20" i="75"/>
  <c r="N21" i="75"/>
  <c r="N22" i="75"/>
  <c r="N18" i="75"/>
  <c r="L19" i="75"/>
  <c r="L20" i="75"/>
  <c r="L21" i="75"/>
  <c r="L22" i="75"/>
  <c r="L18" i="75"/>
  <c r="J19" i="75"/>
  <c r="J20" i="75"/>
  <c r="J21" i="75"/>
  <c r="J22" i="75"/>
  <c r="J18" i="75"/>
  <c r="H19" i="75"/>
  <c r="H20" i="75"/>
  <c r="H21" i="75"/>
  <c r="H22" i="75"/>
  <c r="H18" i="75"/>
  <c r="F19" i="75"/>
  <c r="F20" i="75"/>
  <c r="F21" i="75"/>
  <c r="F22" i="75"/>
  <c r="F18" i="75"/>
  <c r="D19" i="75"/>
  <c r="D20" i="75"/>
  <c r="D21" i="75"/>
  <c r="D22" i="75"/>
  <c r="B1" i="75"/>
  <c r="J27" i="75" l="1"/>
  <c r="L34" i="75"/>
  <c r="L24" i="75"/>
  <c r="N34" i="75"/>
  <c r="F33" i="75"/>
  <c r="N27" i="75"/>
  <c r="D38" i="75"/>
  <c r="J16" i="77"/>
  <c r="D34" i="75"/>
  <c r="L27" i="75"/>
  <c r="J36" i="75"/>
  <c r="H31" i="75"/>
  <c r="H37" i="75"/>
  <c r="L37" i="75"/>
  <c r="L31" i="75"/>
  <c r="L36" i="75"/>
  <c r="H36" i="75"/>
  <c r="H35" i="75" s="1"/>
  <c r="D33" i="75"/>
  <c r="N36" i="75"/>
  <c r="N37" i="75"/>
  <c r="N33" i="75"/>
  <c r="N32" i="75" s="1"/>
  <c r="N38" i="75"/>
  <c r="N31" i="75"/>
  <c r="L33" i="75"/>
  <c r="L32" i="75" s="1"/>
  <c r="L38" i="75"/>
  <c r="J38" i="75"/>
  <c r="J34" i="75"/>
  <c r="J31" i="75"/>
  <c r="J37" i="75"/>
  <c r="J35" i="75" s="1"/>
  <c r="J33" i="75"/>
  <c r="H33" i="75"/>
  <c r="H32" i="75" s="1"/>
  <c r="H38" i="75"/>
  <c r="F36" i="75"/>
  <c r="F38" i="75"/>
  <c r="F37" i="75"/>
  <c r="F31" i="75"/>
  <c r="F34" i="75"/>
  <c r="F32" i="75" s="1"/>
  <c r="D36" i="75"/>
  <c r="D31" i="75"/>
  <c r="D37" i="75"/>
  <c r="J24" i="75"/>
  <c r="N24" i="75"/>
  <c r="D27" i="75"/>
  <c r="D24" i="75"/>
  <c r="N17" i="76"/>
  <c r="L17" i="76"/>
  <c r="J17" i="76"/>
  <c r="H17" i="76"/>
  <c r="F17" i="76"/>
  <c r="D17" i="76"/>
  <c r="N16" i="77"/>
  <c r="L16" i="77"/>
  <c r="H16" i="77"/>
  <c r="F16" i="77"/>
  <c r="D16" i="77"/>
  <c r="L5" i="4"/>
  <c r="D14" i="4"/>
  <c r="E14" i="4"/>
  <c r="F14" i="4"/>
  <c r="G14" i="4"/>
  <c r="H14" i="4"/>
  <c r="I14" i="4"/>
  <c r="J14" i="4"/>
  <c r="K14" i="4"/>
  <c r="C14" i="4"/>
  <c r="L13" i="4"/>
  <c r="B1" i="4"/>
  <c r="B1" i="74"/>
  <c r="D15" i="74"/>
  <c r="F15" i="74"/>
  <c r="H15" i="74"/>
  <c r="J15" i="74"/>
  <c r="L15" i="74"/>
  <c r="N15" i="74"/>
  <c r="M16" i="74"/>
  <c r="K16" i="74"/>
  <c r="I16" i="74"/>
  <c r="G16" i="74"/>
  <c r="E16" i="74"/>
  <c r="C16" i="74"/>
  <c r="N14" i="74"/>
  <c r="L14" i="74"/>
  <c r="J14" i="74"/>
  <c r="H14" i="74"/>
  <c r="F14" i="74"/>
  <c r="D14" i="74"/>
  <c r="N13" i="74"/>
  <c r="L13" i="74"/>
  <c r="J13" i="74"/>
  <c r="H13" i="74"/>
  <c r="F13" i="74"/>
  <c r="D13" i="74"/>
  <c r="N12" i="74"/>
  <c r="L12" i="74"/>
  <c r="J12" i="74"/>
  <c r="H12" i="74"/>
  <c r="F12" i="74"/>
  <c r="D12" i="74"/>
  <c r="N11" i="74"/>
  <c r="L11" i="74"/>
  <c r="J11" i="74"/>
  <c r="H11" i="74"/>
  <c r="F11" i="74"/>
  <c r="D11" i="74"/>
  <c r="N10" i="74"/>
  <c r="L10" i="74"/>
  <c r="J10" i="74"/>
  <c r="H10" i="74"/>
  <c r="F10" i="74"/>
  <c r="D10" i="74"/>
  <c r="N9" i="74"/>
  <c r="L9" i="74"/>
  <c r="J9" i="74"/>
  <c r="H9" i="74"/>
  <c r="F9" i="74"/>
  <c r="D9" i="74"/>
  <c r="N8" i="74"/>
  <c r="L8" i="74"/>
  <c r="J8" i="74"/>
  <c r="H8" i="74"/>
  <c r="F8" i="74"/>
  <c r="D8" i="74"/>
  <c r="N7" i="74"/>
  <c r="L7" i="74"/>
  <c r="J7" i="74"/>
  <c r="H7" i="74"/>
  <c r="F7" i="74"/>
  <c r="D7" i="74"/>
  <c r="N6" i="74"/>
  <c r="L6" i="74"/>
  <c r="J6" i="74"/>
  <c r="H6" i="74"/>
  <c r="F6" i="74"/>
  <c r="D6" i="74"/>
  <c r="N5" i="74"/>
  <c r="L5" i="74"/>
  <c r="J5" i="74"/>
  <c r="H5" i="74"/>
  <c r="F5" i="74"/>
  <c r="D5" i="74"/>
  <c r="N6" i="73"/>
  <c r="N7" i="73"/>
  <c r="N8" i="73"/>
  <c r="N9" i="73"/>
  <c r="N10" i="73"/>
  <c r="N11" i="73"/>
  <c r="N12" i="73"/>
  <c r="N13" i="73"/>
  <c r="N14" i="73"/>
  <c r="N15" i="73"/>
  <c r="N16" i="73"/>
  <c r="N5" i="73"/>
  <c r="L6" i="73"/>
  <c r="L7" i="73"/>
  <c r="L8" i="73"/>
  <c r="L9" i="73"/>
  <c r="L10" i="73"/>
  <c r="L11" i="73"/>
  <c r="L12" i="73"/>
  <c r="L13" i="73"/>
  <c r="L14" i="73"/>
  <c r="L15" i="73"/>
  <c r="L16" i="73"/>
  <c r="L5" i="73"/>
  <c r="J6" i="73"/>
  <c r="J7" i="73"/>
  <c r="J8" i="73"/>
  <c r="J9" i="73"/>
  <c r="J10" i="73"/>
  <c r="J11" i="73"/>
  <c r="J12" i="73"/>
  <c r="J13" i="73"/>
  <c r="J14" i="73"/>
  <c r="J15" i="73"/>
  <c r="J16" i="73"/>
  <c r="J5" i="73"/>
  <c r="H6" i="73"/>
  <c r="H7" i="73"/>
  <c r="H8" i="73"/>
  <c r="H9" i="73"/>
  <c r="H10" i="73"/>
  <c r="H11" i="73"/>
  <c r="H12" i="73"/>
  <c r="H13" i="73"/>
  <c r="H14" i="73"/>
  <c r="H15" i="73"/>
  <c r="H16" i="73"/>
  <c r="H5" i="73"/>
  <c r="F6" i="73"/>
  <c r="F7" i="73"/>
  <c r="F8" i="73"/>
  <c r="F9" i="73"/>
  <c r="F10" i="73"/>
  <c r="F11" i="73"/>
  <c r="F12" i="73"/>
  <c r="F13" i="73"/>
  <c r="F14" i="73"/>
  <c r="F15" i="73"/>
  <c r="F16" i="73"/>
  <c r="F5" i="73"/>
  <c r="D6" i="73"/>
  <c r="D7" i="73"/>
  <c r="D8" i="73"/>
  <c r="D9" i="73"/>
  <c r="D10" i="73"/>
  <c r="D11" i="73"/>
  <c r="D12" i="73"/>
  <c r="D13" i="73"/>
  <c r="D14" i="73"/>
  <c r="D15" i="73"/>
  <c r="D16" i="73"/>
  <c r="D5" i="73"/>
  <c r="M17" i="73"/>
  <c r="B1" i="73"/>
  <c r="K17" i="73"/>
  <c r="I17" i="73"/>
  <c r="G17" i="73"/>
  <c r="E17" i="73"/>
  <c r="C17" i="73"/>
  <c r="B1" i="72"/>
  <c r="B1" i="71"/>
  <c r="B1" i="70"/>
  <c r="K16" i="71"/>
  <c r="I16" i="71"/>
  <c r="G16" i="71"/>
  <c r="E16" i="71"/>
  <c r="C16" i="71"/>
  <c r="L15" i="71"/>
  <c r="J15" i="71"/>
  <c r="H15" i="71"/>
  <c r="F15" i="71"/>
  <c r="D15" i="71"/>
  <c r="L14" i="71"/>
  <c r="J14" i="71"/>
  <c r="H14" i="71"/>
  <c r="F14" i="71"/>
  <c r="D14" i="71"/>
  <c r="L13" i="71"/>
  <c r="J13" i="71"/>
  <c r="H13" i="71"/>
  <c r="F13" i="71"/>
  <c r="D13" i="71"/>
  <c r="L12" i="71"/>
  <c r="J12" i="71"/>
  <c r="H12" i="71"/>
  <c r="F12" i="71"/>
  <c r="D12" i="71"/>
  <c r="L11" i="71"/>
  <c r="J11" i="71"/>
  <c r="H11" i="71"/>
  <c r="F11" i="71"/>
  <c r="D11" i="71"/>
  <c r="L10" i="71"/>
  <c r="J10" i="71"/>
  <c r="H10" i="71"/>
  <c r="F10" i="71"/>
  <c r="D10" i="71"/>
  <c r="L9" i="71"/>
  <c r="J9" i="71"/>
  <c r="H9" i="71"/>
  <c r="F9" i="71"/>
  <c r="D9" i="71"/>
  <c r="L8" i="71"/>
  <c r="J8" i="71"/>
  <c r="H8" i="71"/>
  <c r="F8" i="71"/>
  <c r="D8" i="71"/>
  <c r="L7" i="71"/>
  <c r="J7" i="71"/>
  <c r="H7" i="71"/>
  <c r="F7" i="71"/>
  <c r="D7" i="71"/>
  <c r="L6" i="71"/>
  <c r="J6" i="71"/>
  <c r="H6" i="71"/>
  <c r="F6" i="71"/>
  <c r="D6" i="71"/>
  <c r="L5" i="71"/>
  <c r="J5" i="71"/>
  <c r="H5" i="71"/>
  <c r="F5" i="71"/>
  <c r="D5" i="71"/>
  <c r="K17" i="70"/>
  <c r="I17" i="70"/>
  <c r="G17" i="70"/>
  <c r="E17" i="70"/>
  <c r="C17" i="70"/>
  <c r="L16" i="70"/>
  <c r="J16" i="70"/>
  <c r="H16" i="70"/>
  <c r="F16" i="70"/>
  <c r="D16" i="70"/>
  <c r="L15" i="70"/>
  <c r="J15" i="70"/>
  <c r="H15" i="70"/>
  <c r="F15" i="70"/>
  <c r="D15" i="70"/>
  <c r="L14" i="70"/>
  <c r="J14" i="70"/>
  <c r="H14" i="70"/>
  <c r="F14" i="70"/>
  <c r="D14" i="70"/>
  <c r="L13" i="70"/>
  <c r="J13" i="70"/>
  <c r="H13" i="70"/>
  <c r="F13" i="70"/>
  <c r="D13" i="70"/>
  <c r="L12" i="70"/>
  <c r="J12" i="70"/>
  <c r="H12" i="70"/>
  <c r="F12" i="70"/>
  <c r="D12" i="70"/>
  <c r="L11" i="70"/>
  <c r="J11" i="70"/>
  <c r="H11" i="70"/>
  <c r="F11" i="70"/>
  <c r="D11" i="70"/>
  <c r="L10" i="70"/>
  <c r="J10" i="70"/>
  <c r="H10" i="70"/>
  <c r="F10" i="70"/>
  <c r="D10" i="70"/>
  <c r="L9" i="70"/>
  <c r="J9" i="70"/>
  <c r="H9" i="70"/>
  <c r="F9" i="70"/>
  <c r="D9" i="70"/>
  <c r="L8" i="70"/>
  <c r="J8" i="70"/>
  <c r="H8" i="70"/>
  <c r="F8" i="70"/>
  <c r="D8" i="70"/>
  <c r="L7" i="70"/>
  <c r="J7" i="70"/>
  <c r="H7" i="70"/>
  <c r="F7" i="70"/>
  <c r="D7" i="70"/>
  <c r="L6" i="70"/>
  <c r="J6" i="70"/>
  <c r="H6" i="70"/>
  <c r="F6" i="70"/>
  <c r="D6" i="70"/>
  <c r="L5" i="70"/>
  <c r="J5" i="70"/>
  <c r="H5" i="70"/>
  <c r="F5" i="70"/>
  <c r="B1" i="62"/>
  <c r="B1" i="61"/>
  <c r="L16" i="62"/>
  <c r="K16" i="62"/>
  <c r="J16" i="62"/>
  <c r="I16" i="62"/>
  <c r="H16" i="62"/>
  <c r="G16" i="62"/>
  <c r="F16" i="62"/>
  <c r="E16" i="62"/>
  <c r="D16" i="62"/>
  <c r="C16" i="62"/>
  <c r="L17" i="61"/>
  <c r="K17" i="61"/>
  <c r="J17" i="61"/>
  <c r="I17" i="61"/>
  <c r="H17" i="61"/>
  <c r="G17" i="61"/>
  <c r="F17" i="61"/>
  <c r="E17" i="61"/>
  <c r="D17" i="61"/>
  <c r="C17" i="61"/>
  <c r="B1" i="60"/>
  <c r="B1" i="59"/>
  <c r="L16" i="60"/>
  <c r="K16" i="60"/>
  <c r="J16" i="60"/>
  <c r="I16" i="60"/>
  <c r="H16" i="60"/>
  <c r="G16" i="60"/>
  <c r="F16" i="60"/>
  <c r="E16" i="60"/>
  <c r="D16" i="60"/>
  <c r="C16" i="60"/>
  <c r="L17" i="59"/>
  <c r="K17" i="59"/>
  <c r="J17" i="59"/>
  <c r="I17" i="59"/>
  <c r="H17" i="59"/>
  <c r="G17" i="59"/>
  <c r="F17" i="59"/>
  <c r="E17" i="59"/>
  <c r="D17" i="59"/>
  <c r="C17" i="59"/>
  <c r="B1" i="58"/>
  <c r="L16" i="58"/>
  <c r="K16" i="58"/>
  <c r="J16" i="58"/>
  <c r="I16" i="58"/>
  <c r="H16" i="58"/>
  <c r="G16" i="58"/>
  <c r="F16" i="58"/>
  <c r="E16" i="58"/>
  <c r="D16" i="58"/>
  <c r="C16" i="58"/>
  <c r="B1" i="57"/>
  <c r="K17" i="57"/>
  <c r="I17" i="57"/>
  <c r="G17" i="57"/>
  <c r="E17" i="57"/>
  <c r="C17" i="57"/>
  <c r="F17" i="57"/>
  <c r="L17" i="57"/>
  <c r="J17" i="57"/>
  <c r="H17" i="57"/>
  <c r="D17" i="57"/>
  <c r="B1" i="56"/>
  <c r="B1" i="55"/>
  <c r="B1" i="54"/>
  <c r="B1" i="52"/>
  <c r="L6" i="4"/>
  <c r="L7" i="4"/>
  <c r="L8" i="4"/>
  <c r="L9" i="4"/>
  <c r="L10" i="4"/>
  <c r="L11" i="4"/>
  <c r="L12" i="4"/>
  <c r="H17" i="70" l="1"/>
  <c r="L35" i="75"/>
  <c r="D32" i="75"/>
  <c r="F35" i="75"/>
  <c r="N35" i="75"/>
  <c r="J32" i="75"/>
  <c r="D35" i="75"/>
  <c r="L14" i="4"/>
  <c r="N17" i="73"/>
  <c r="L17" i="73"/>
  <c r="J17" i="73"/>
  <c r="F17" i="73"/>
  <c r="F17" i="70"/>
  <c r="F16" i="74"/>
  <c r="H16" i="74"/>
  <c r="N16" i="74"/>
  <c r="J16" i="74"/>
  <c r="D16" i="74"/>
  <c r="L16" i="74"/>
  <c r="H17" i="73"/>
  <c r="D17" i="73"/>
  <c r="L16" i="71"/>
  <c r="J16" i="71"/>
  <c r="H16" i="71"/>
  <c r="D16" i="71"/>
  <c r="F16" i="71"/>
  <c r="L17" i="70"/>
  <c r="J17" i="70"/>
  <c r="D17" i="70"/>
  <c r="L6" i="6"/>
  <c r="L7" i="6"/>
  <c r="L8" i="6"/>
  <c r="L9" i="6"/>
  <c r="L10" i="6"/>
  <c r="L11" i="6"/>
  <c r="L12" i="6"/>
  <c r="L13" i="6"/>
  <c r="L14" i="6"/>
  <c r="L15" i="6"/>
  <c r="L5" i="6"/>
  <c r="J6" i="6"/>
  <c r="J7" i="6"/>
  <c r="J8" i="6"/>
  <c r="J9" i="6"/>
  <c r="J10" i="6"/>
  <c r="J11" i="6"/>
  <c r="J12" i="6"/>
  <c r="J13" i="6"/>
  <c r="J14" i="6"/>
  <c r="J15" i="6"/>
  <c r="J5" i="6"/>
  <c r="H6" i="6"/>
  <c r="H7" i="6"/>
  <c r="H8" i="6"/>
  <c r="H9" i="6"/>
  <c r="H10" i="6"/>
  <c r="H11" i="6"/>
  <c r="H12" i="6"/>
  <c r="H13" i="6"/>
  <c r="H14" i="6"/>
  <c r="H15" i="6"/>
  <c r="H5" i="6"/>
  <c r="F6" i="6"/>
  <c r="F7" i="6"/>
  <c r="F8" i="6"/>
  <c r="F9" i="6"/>
  <c r="F10" i="6"/>
  <c r="F11" i="6"/>
  <c r="F12" i="6"/>
  <c r="F13" i="6"/>
  <c r="F14" i="6"/>
  <c r="F15" i="6"/>
  <c r="F5" i="6"/>
  <c r="D6" i="6"/>
  <c r="D7" i="6"/>
  <c r="D8" i="6"/>
  <c r="D9" i="6"/>
  <c r="D10" i="6"/>
  <c r="D11" i="6"/>
  <c r="D12" i="6"/>
  <c r="D13" i="6"/>
  <c r="D14" i="6"/>
  <c r="D15" i="6"/>
  <c r="D5" i="6"/>
  <c r="E16" i="6"/>
  <c r="G16" i="6"/>
  <c r="I16" i="6"/>
  <c r="K16" i="6"/>
  <c r="L6" i="7"/>
  <c r="L7" i="7"/>
  <c r="L8" i="7"/>
  <c r="L9" i="7"/>
  <c r="L10" i="7"/>
  <c r="L11" i="7"/>
  <c r="L12" i="7"/>
  <c r="L13" i="7"/>
  <c r="L14" i="7"/>
  <c r="L15" i="7"/>
  <c r="L16" i="7"/>
  <c r="L5" i="7"/>
  <c r="J6" i="7"/>
  <c r="J7" i="7"/>
  <c r="J8" i="7"/>
  <c r="J9" i="7"/>
  <c r="J10" i="7"/>
  <c r="J11" i="7"/>
  <c r="J12" i="7"/>
  <c r="J13" i="7"/>
  <c r="J14" i="7"/>
  <c r="J15" i="7"/>
  <c r="J16" i="7"/>
  <c r="J5" i="7"/>
  <c r="H6" i="7"/>
  <c r="H7" i="7"/>
  <c r="H8" i="7"/>
  <c r="H9" i="7"/>
  <c r="H10" i="7"/>
  <c r="H11" i="7"/>
  <c r="H12" i="7"/>
  <c r="H13" i="7"/>
  <c r="H14" i="7"/>
  <c r="H15" i="7"/>
  <c r="H16" i="7"/>
  <c r="H5" i="7"/>
  <c r="F6" i="7"/>
  <c r="F7" i="7"/>
  <c r="F8" i="7"/>
  <c r="F9" i="7"/>
  <c r="F10" i="7"/>
  <c r="F11" i="7"/>
  <c r="F12" i="7"/>
  <c r="F13" i="7"/>
  <c r="F5" i="7"/>
  <c r="E17" i="7"/>
  <c r="G17" i="7"/>
  <c r="I17" i="7"/>
  <c r="K17" i="7"/>
  <c r="C17" i="7"/>
  <c r="D6" i="7"/>
  <c r="D7" i="7"/>
  <c r="D8" i="7"/>
  <c r="D9" i="7"/>
  <c r="D10" i="7"/>
  <c r="D11" i="7"/>
  <c r="D12" i="7"/>
  <c r="D13" i="7"/>
  <c r="D14" i="7"/>
  <c r="D15" i="7"/>
  <c r="D16" i="7"/>
  <c r="D5" i="7"/>
  <c r="D17" i="7" s="1"/>
  <c r="L16" i="6" l="1"/>
  <c r="J16" i="6"/>
  <c r="H16" i="6"/>
  <c r="F16" i="6"/>
  <c r="D16" i="6"/>
  <c r="L17" i="7"/>
  <c r="H17" i="7"/>
  <c r="J17" i="7"/>
  <c r="F17" i="7"/>
  <c r="G13" i="3" l="1"/>
  <c r="G11" i="3"/>
  <c r="G9" i="3"/>
  <c r="G7" i="3"/>
  <c r="G5" i="3"/>
  <c r="B1" i="3" l="1"/>
  <c r="D21" i="2"/>
  <c r="B1" i="37" l="1"/>
  <c r="B1" i="38"/>
  <c r="B1" i="6"/>
  <c r="B1" i="7"/>
  <c r="B1" i="2"/>
</calcChain>
</file>

<file path=xl/sharedStrings.xml><?xml version="1.0" encoding="utf-8"?>
<sst xmlns="http://schemas.openxmlformats.org/spreadsheetml/2006/main" count="1808" uniqueCount="684">
  <si>
    <t>Total</t>
  </si>
  <si>
    <t>absolut</t>
  </si>
  <si>
    <t>in %</t>
  </si>
  <si>
    <t>in 1'000 Fr.</t>
  </si>
  <si>
    <t>Jahr</t>
  </si>
  <si>
    <t>Tabellenverzeichnis</t>
  </si>
  <si>
    <t>www.ag.ch/statistik</t>
  </si>
  <si>
    <t>062 835 13 00, statistik@ag.ch</t>
  </si>
  <si>
    <t>© Statistik Aargau</t>
  </si>
  <si>
    <t>Tabelle</t>
  </si>
  <si>
    <t>Pflichtige</t>
  </si>
  <si>
    <t>0</t>
  </si>
  <si>
    <t>Übrige</t>
  </si>
  <si>
    <t>Insgesamt</t>
  </si>
  <si>
    <t>Erläuterungen und Hinweise</t>
  </si>
  <si>
    <t>Gemeindetabellen</t>
  </si>
  <si>
    <t>1'000–1'999</t>
  </si>
  <si>
    <t>2'000–4'999</t>
  </si>
  <si>
    <t>5'000–9'999</t>
  </si>
  <si>
    <t>10'000–19'999</t>
  </si>
  <si>
    <t>20'000–49'999</t>
  </si>
  <si>
    <t>1:</t>
  </si>
  <si>
    <t>2:</t>
  </si>
  <si>
    <t>3:</t>
  </si>
  <si>
    <t>4:</t>
  </si>
  <si>
    <t>5:</t>
  </si>
  <si>
    <t>Gemeindekarte:</t>
  </si>
  <si>
    <t>Einkommen und Vermögen</t>
  </si>
  <si>
    <t xml:space="preserve">Tabelle </t>
  </si>
  <si>
    <t>Index</t>
  </si>
  <si>
    <t>Reineinkommen</t>
  </si>
  <si>
    <t>steuerbares Einkommen</t>
  </si>
  <si>
    <t>Reinvermögen</t>
  </si>
  <si>
    <t>1. Bei den Steuerpflichtigen handelt es sich um Steuerpflichtige mit Wohnsitz im Kanton Aargau (Primärpflichtige).</t>
  </si>
  <si>
    <t>Steuerbelastung durch die…</t>
  </si>
  <si>
    <r>
      <t>Einkommenssteuer</t>
    </r>
    <r>
      <rPr>
        <vertAlign val="superscript"/>
        <sz val="10"/>
        <rFont val="Arial"/>
        <family val="2"/>
      </rPr>
      <t>1</t>
    </r>
  </si>
  <si>
    <r>
      <t>Vermögenssteuer</t>
    </r>
    <r>
      <rPr>
        <vertAlign val="superscript"/>
        <sz val="10"/>
        <rFont val="Arial"/>
        <family val="2"/>
      </rPr>
      <t>2</t>
    </r>
  </si>
  <si>
    <t>1. Einkommenssteuer (100%) in Prozent des steuerbaren Einkommens im Kanton Aargau.</t>
  </si>
  <si>
    <t>0.1 –         9.9</t>
  </si>
  <si>
    <t>10.0 –       19.9</t>
  </si>
  <si>
    <t>20.0 –       29.9</t>
  </si>
  <si>
    <t>30.0 –       49.9</t>
  </si>
  <si>
    <t>50.0 –       74.9</t>
  </si>
  <si>
    <t>75.0 –       99.9</t>
  </si>
  <si>
    <t>100.0 –     149.9</t>
  </si>
  <si>
    <t>150.0 –     249.9</t>
  </si>
  <si>
    <t>250.0 –     499.9</t>
  </si>
  <si>
    <t>500.0 –     999.9</t>
  </si>
  <si>
    <t xml:space="preserve">   1'000 –</t>
  </si>
  <si>
    <t>1 –       24</t>
  </si>
  <si>
    <t xml:space="preserve">      10'000 –</t>
  </si>
  <si>
    <t>25 –       49</t>
  </si>
  <si>
    <t>50 –       99</t>
  </si>
  <si>
    <t>100 –     249</t>
  </si>
  <si>
    <t>250 –     499</t>
  </si>
  <si>
    <t>500 –     749</t>
  </si>
  <si>
    <t>750 –     999</t>
  </si>
  <si>
    <t>1'000 –  4'999</t>
  </si>
  <si>
    <t>5'000 –  9'999</t>
  </si>
  <si>
    <t>Total Einkünfte 
in 1'000 Franken</t>
  </si>
  <si>
    <t>Reineinkommen
in 1'000 Franken</t>
  </si>
  <si>
    <t>Totale Vermögenswerte
in 1'000 Franken</t>
  </si>
  <si>
    <t>Reinvermögen
in 1'000 Franken</t>
  </si>
  <si>
    <t>Stufen des Reinvermögens 
in 1'000 Franken</t>
  </si>
  <si>
    <t>Ledige</t>
  </si>
  <si>
    <t>Verheiratet</t>
  </si>
  <si>
    <t xml:space="preserve">Verwitwete </t>
  </si>
  <si>
    <t>Geschiedene</t>
  </si>
  <si>
    <t>Verheiratete</t>
  </si>
  <si>
    <t>Getrennt Lebende</t>
  </si>
  <si>
    <t>Unselbstständige Tätigkeit: Pflichtige(r)</t>
  </si>
  <si>
    <t xml:space="preserve">                                        Ehefrau</t>
  </si>
  <si>
    <t>Selbstständige Tätigkeit: Pflichtige(r)</t>
  </si>
  <si>
    <t xml:space="preserve">                                     Ehefrau</t>
  </si>
  <si>
    <t xml:space="preserve">                                                    Ehefrau</t>
  </si>
  <si>
    <t>Wertschriften und Kapital anlagen</t>
  </si>
  <si>
    <t>Liegenschaften (abzgl. Liegenschaftsunterhalt)</t>
  </si>
  <si>
    <t>Weitere Einkünfte</t>
  </si>
  <si>
    <t>Total Einkünfte</t>
  </si>
  <si>
    <t>Anbzüge</t>
  </si>
  <si>
    <t>Berufskosten</t>
  </si>
  <si>
    <t>Schuldzinsen</t>
  </si>
  <si>
    <t>Einkaufsbeiträge Säule 2 und Beiträge Säule 3a</t>
  </si>
  <si>
    <t>Versicherungsprämien und Zinsen</t>
  </si>
  <si>
    <t>Übrige Abzüge (abzgl. Selbstbehalt)</t>
  </si>
  <si>
    <t>Wertschriften und Guthaben</t>
  </si>
  <si>
    <t>Lebens– und Rentenversicherung (Steuerwert)</t>
  </si>
  <si>
    <t>Liegenschaften (ohne Geschäftsliegenschaften)</t>
  </si>
  <si>
    <t>Betriebsvermögen selbstständig Erwerbenden</t>
  </si>
  <si>
    <t>Übrige Vermögenswerte</t>
  </si>
  <si>
    <t>Schulden</t>
  </si>
  <si>
    <t>Total Abzüge</t>
  </si>
  <si>
    <t>Einkünfte im In– und Ausland</t>
  </si>
  <si>
    <t>Vermögen im In– und Ausland</t>
  </si>
  <si>
    <t>Sozial– und andere Versicherungen: Pflichtige(r)</t>
  </si>
  <si>
    <t>– 19</t>
  </si>
  <si>
    <t>20 – 34</t>
  </si>
  <si>
    <t>35 – 49</t>
  </si>
  <si>
    <t>50 – 64</t>
  </si>
  <si>
    <t>65 +</t>
  </si>
  <si>
    <t>Erwerbstätige</t>
  </si>
  <si>
    <t>selbstständige</t>
  </si>
  <si>
    <t>ohne Kind</t>
  </si>
  <si>
    <t>mit Kind</t>
  </si>
  <si>
    <t>Ledige, Verwitwete, 
Geschiedene und 
getrennt Lebende</t>
  </si>
  <si>
    <t>Einverdienerpaare</t>
  </si>
  <si>
    <t>Zweiverdienerpaare</t>
  </si>
  <si>
    <t>Stufen des Reineinkommens 
in 1'000 Franken</t>
  </si>
  <si>
    <t>Verwitwete</t>
  </si>
  <si>
    <t>16:</t>
  </si>
  <si>
    <t>18:</t>
  </si>
  <si>
    <t>Selbstständige</t>
  </si>
  <si>
    <t>Unselbstständige</t>
  </si>
  <si>
    <t>Ledige, Verwitwete, Geschiedene und getrennt Lebende</t>
  </si>
  <si>
    <t>65 – 79</t>
  </si>
  <si>
    <t>80 +</t>
  </si>
  <si>
    <t>Steuerbares Einkommen</t>
  </si>
  <si>
    <t>Totale Vermögenswerte</t>
  </si>
  <si>
    <t>Steuerbares Vermögen</t>
  </si>
  <si>
    <t>Stufen des steuerbaren Vermögens 
in 1'000 Franken</t>
  </si>
  <si>
    <t>1 –    999</t>
  </si>
  <si>
    <t>1'000 –  1'999</t>
  </si>
  <si>
    <t xml:space="preserve"> 2'000 –  4'999</t>
  </si>
  <si>
    <t xml:space="preserve"> 10'000 –19'999</t>
  </si>
  <si>
    <t xml:space="preserve"> 20'000 –49'999</t>
  </si>
  <si>
    <t>50'000 –99'999</t>
  </si>
  <si>
    <t>1–499</t>
  </si>
  <si>
    <t>500–999</t>
  </si>
  <si>
    <t>50'000 –</t>
  </si>
  <si>
    <t>in Mio. Fr.</t>
  </si>
  <si>
    <t>Einkommenssteuer
(100%)</t>
  </si>
  <si>
    <t>Vermögenssteuer
(100%)</t>
  </si>
  <si>
    <t>Kantonssteuer
(100%)</t>
  </si>
  <si>
    <t>Ledig</t>
  </si>
  <si>
    <t>Verwitwet</t>
  </si>
  <si>
    <t>Geschieden</t>
  </si>
  <si>
    <t>nach Zivilstand</t>
  </si>
  <si>
    <t>nach Altersklassen</t>
  </si>
  <si>
    <t>65 Jahre und älter</t>
  </si>
  <si>
    <t>nach Erwerbsart</t>
  </si>
  <si>
    <t>Selbständige</t>
  </si>
  <si>
    <t>Unselbständige</t>
  </si>
  <si>
    <t>nach Familientyp</t>
  </si>
  <si>
    <t>Ohne Kind</t>
  </si>
  <si>
    <t xml:space="preserve"> – Verheiratet</t>
  </si>
  <si>
    <t>Mit Kind</t>
  </si>
  <si>
    <t>nach Verdienerzahl</t>
  </si>
  <si>
    <t xml:space="preserve"> – Ohne Kind</t>
  </si>
  <si>
    <t xml:space="preserve"> – Mit Kind</t>
  </si>
  <si>
    <t>Altersrentner (65+)</t>
  </si>
  <si>
    <t>Total Steuerpflichtige im Kanton Aargau</t>
  </si>
  <si>
    <t>17:</t>
  </si>
  <si>
    <t>Einkommenssteuer</t>
  </si>
  <si>
    <t>Steuerpflichtige im Kanton Aargau mit Tarif A</t>
  </si>
  <si>
    <t>Steuerbelastung
in %</t>
  </si>
  <si>
    <t>Steuerpflichtige im Kanton Aargau mit Tarif B</t>
  </si>
  <si>
    <t>Stufen des
Reineinkommens
in 1'000 Franken</t>
  </si>
  <si>
    <t xml:space="preserve"> 100.0 – 149.9</t>
  </si>
  <si>
    <t xml:space="preserve"> 75.0 –   99.9</t>
  </si>
  <si>
    <t xml:space="preserve"> 50.0 –   74.9</t>
  </si>
  <si>
    <t>30.0 –   49.9</t>
  </si>
  <si>
    <t xml:space="preserve"> 20.0 –   29.9</t>
  </si>
  <si>
    <t>10.0 –   19.9</t>
  </si>
  <si>
    <t>0.1 –     9.9</t>
  </si>
  <si>
    <t xml:space="preserve"> 150.0 – 249.9</t>
  </si>
  <si>
    <t>250.0 – 499.9</t>
  </si>
  <si>
    <t>500.0 – 999.9</t>
  </si>
  <si>
    <t>1–24</t>
  </si>
  <si>
    <t>25–49</t>
  </si>
  <si>
    <t>50–99</t>
  </si>
  <si>
    <t>100–249</t>
  </si>
  <si>
    <t>250–499</t>
  </si>
  <si>
    <t>500–749</t>
  </si>
  <si>
    <t>750–999</t>
  </si>
  <si>
    <t>1'000–4'999</t>
  </si>
  <si>
    <t>10'000–</t>
  </si>
  <si>
    <t>Gemeinde</t>
  </si>
  <si>
    <t>Durchschnitt</t>
  </si>
  <si>
    <t>Total Vermögenswerte</t>
  </si>
  <si>
    <t>Kanton Aargau</t>
  </si>
  <si>
    <t>Bezirk Aarau</t>
  </si>
  <si>
    <t>Biberstein</t>
  </si>
  <si>
    <t>Densbüren</t>
  </si>
  <si>
    <t>Gränichen</t>
  </si>
  <si>
    <t>Hirschthal</t>
  </si>
  <si>
    <t>Küttigen</t>
  </si>
  <si>
    <t>Muhen</t>
  </si>
  <si>
    <t>Oberentfelden</t>
  </si>
  <si>
    <t>Suhr</t>
  </si>
  <si>
    <t>Unterentfelden</t>
  </si>
  <si>
    <t>Bezirk Baden</t>
  </si>
  <si>
    <t>Baden</t>
  </si>
  <si>
    <t>Bellikon</t>
  </si>
  <si>
    <t>Bergdietikon</t>
  </si>
  <si>
    <t>Ehrendingen</t>
  </si>
  <si>
    <t>Ennetbaden</t>
  </si>
  <si>
    <t>Fislisbach</t>
  </si>
  <si>
    <t>Freienwil</t>
  </si>
  <si>
    <t>Gebenstorf</t>
  </si>
  <si>
    <t>Killwangen</t>
  </si>
  <si>
    <t>Künten</t>
  </si>
  <si>
    <t>Mägenwil</t>
  </si>
  <si>
    <t>Mellingen</t>
  </si>
  <si>
    <t>Neuenhof</t>
  </si>
  <si>
    <t>Niederrohrdorf</t>
  </si>
  <si>
    <t>Oberrohrdorf</t>
  </si>
  <si>
    <t>Obersiggenthal</t>
  </si>
  <si>
    <t>Remetschwil</t>
  </si>
  <si>
    <t>Spreitenbach</t>
  </si>
  <si>
    <t>Turgi</t>
  </si>
  <si>
    <t>Untersiggenthal</t>
  </si>
  <si>
    <t>Wettingen</t>
  </si>
  <si>
    <t>Wohlenschwil</t>
  </si>
  <si>
    <t>Würenlingen</t>
  </si>
  <si>
    <t>Würenlos</t>
  </si>
  <si>
    <t>Bezirk Bremgarten</t>
  </si>
  <si>
    <t>Berikon</t>
  </si>
  <si>
    <t>Büttikon</t>
  </si>
  <si>
    <t>Dottikon</t>
  </si>
  <si>
    <t>Eggenwil</t>
  </si>
  <si>
    <t>Fischbach-Gösl.</t>
  </si>
  <si>
    <t>Hägglingen</t>
  </si>
  <si>
    <t>Hermetschwil-St.</t>
  </si>
  <si>
    <t>Islisberg</t>
  </si>
  <si>
    <t>Jonen</t>
  </si>
  <si>
    <t>Oberlunkhofen</t>
  </si>
  <si>
    <t>Oberwil-Lieli</t>
  </si>
  <si>
    <t>Rudolfstetten-Fr.</t>
  </si>
  <si>
    <t>Sarmenstorf</t>
  </si>
  <si>
    <t>Tägerig</t>
  </si>
  <si>
    <t>Uezwil</t>
  </si>
  <si>
    <t>Unterlunkhofen</t>
  </si>
  <si>
    <t>Villmergen</t>
  </si>
  <si>
    <t>Widen</t>
  </si>
  <si>
    <t>Zufikon</t>
  </si>
  <si>
    <t>Bezirk Brugg</t>
  </si>
  <si>
    <t>Auenstein</t>
  </si>
  <si>
    <t>Birr</t>
  </si>
  <si>
    <t>Birrhard</t>
  </si>
  <si>
    <t>Bözen</t>
  </si>
  <si>
    <t>Brugg</t>
  </si>
  <si>
    <t>Effingen</t>
  </si>
  <si>
    <t>Elfingen</t>
  </si>
  <si>
    <t>Habsburg</t>
  </si>
  <si>
    <t>Lupfig</t>
  </si>
  <si>
    <t>Mandach</t>
  </si>
  <si>
    <t>Mönthal</t>
  </si>
  <si>
    <t>Mülligen</t>
  </si>
  <si>
    <t>Oberflachs</t>
  </si>
  <si>
    <t>Remigen</t>
  </si>
  <si>
    <t>Riniken</t>
  </si>
  <si>
    <t>Rüfenach</t>
  </si>
  <si>
    <t>Scherz</t>
  </si>
  <si>
    <t>Schinznach-Bad</t>
  </si>
  <si>
    <t>Schinznach-Dorf</t>
  </si>
  <si>
    <t>Villigen</t>
  </si>
  <si>
    <t>Villnachern</t>
  </si>
  <si>
    <t>Windisch</t>
  </si>
  <si>
    <t>Bezirk Kulm</t>
  </si>
  <si>
    <t>Beinwil am See</t>
  </si>
  <si>
    <t>Birrwil</t>
  </si>
  <si>
    <t>Dürrenäsch</t>
  </si>
  <si>
    <t>Gontenschwil</t>
  </si>
  <si>
    <t>Holziken</t>
  </si>
  <si>
    <t>Leutwil</t>
  </si>
  <si>
    <t>Menziken</t>
  </si>
  <si>
    <t>Oberkulm</t>
  </si>
  <si>
    <t>Schlossrued</t>
  </si>
  <si>
    <t>Schmiedrued</t>
  </si>
  <si>
    <t>Schöftland</t>
  </si>
  <si>
    <t>Unterkulm</t>
  </si>
  <si>
    <t>Zetzwil</t>
  </si>
  <si>
    <t>Bezirk Laufenburg</t>
  </si>
  <si>
    <t>Eiken</t>
  </si>
  <si>
    <t>Frick</t>
  </si>
  <si>
    <t>Gansingen</t>
  </si>
  <si>
    <t>Gipf-Oberfrick</t>
  </si>
  <si>
    <t>Herznach</t>
  </si>
  <si>
    <t>Hornussen</t>
  </si>
  <si>
    <t>Kaisten</t>
  </si>
  <si>
    <t>Laufenburg</t>
  </si>
  <si>
    <t>Oberhof</t>
  </si>
  <si>
    <t>Oeschgen</t>
  </si>
  <si>
    <t>Schwaderloch</t>
  </si>
  <si>
    <t>Sisseln</t>
  </si>
  <si>
    <t>Ueken</t>
  </si>
  <si>
    <t>Wittnau</t>
  </si>
  <si>
    <t>Wölflinswil</t>
  </si>
  <si>
    <t>Zeihen</t>
  </si>
  <si>
    <t>Bezirk Lenzburg</t>
  </si>
  <si>
    <t>Ammerswil</t>
  </si>
  <si>
    <t>Boniswil</t>
  </si>
  <si>
    <t>Brunegg</t>
  </si>
  <si>
    <t>Dintikon</t>
  </si>
  <si>
    <t>Egliswil</t>
  </si>
  <si>
    <t>Fahrwangen</t>
  </si>
  <si>
    <t>Hallwil</t>
  </si>
  <si>
    <t>Hendschiken</t>
  </si>
  <si>
    <t>Hunzenschwil</t>
  </si>
  <si>
    <t>Lenzburg</t>
  </si>
  <si>
    <t>Meisterschwanden</t>
  </si>
  <si>
    <t>Möriken-Wildegg</t>
  </si>
  <si>
    <t>Niederlenz</t>
  </si>
  <si>
    <t>Othmarsingen</t>
  </si>
  <si>
    <t>Rupperswil</t>
  </si>
  <si>
    <t>Schafisheim</t>
  </si>
  <si>
    <t>Seengen</t>
  </si>
  <si>
    <t>Seon</t>
  </si>
  <si>
    <t>Staufen</t>
  </si>
  <si>
    <t>Bezirk Muri</t>
  </si>
  <si>
    <t>Abtwil</t>
  </si>
  <si>
    <t>Aristau</t>
  </si>
  <si>
    <t>Auw</t>
  </si>
  <si>
    <t>Beinwil (Freiamt)</t>
  </si>
  <si>
    <t>Besenbüren</t>
  </si>
  <si>
    <t>Bettwil</t>
  </si>
  <si>
    <t>Boswil</t>
  </si>
  <si>
    <t>Bünzen</t>
  </si>
  <si>
    <t>Buttwil</t>
  </si>
  <si>
    <t>Dietwil</t>
  </si>
  <si>
    <t>Geltwil</t>
  </si>
  <si>
    <t>Kallern</t>
  </si>
  <si>
    <t>Merenschwand</t>
  </si>
  <si>
    <t>Mühlau</t>
  </si>
  <si>
    <t>Oberrüti</t>
  </si>
  <si>
    <t>Rottenschwil</t>
  </si>
  <si>
    <t>Sins</t>
  </si>
  <si>
    <t>Waltenschwil</t>
  </si>
  <si>
    <t>Bezirk Rheinfelden</t>
  </si>
  <si>
    <t>Hellikon</t>
  </si>
  <si>
    <t>Kaiseraugst</t>
  </si>
  <si>
    <t>Magden</t>
  </si>
  <si>
    <t>Möhlin</t>
  </si>
  <si>
    <t>Mumpf</t>
  </si>
  <si>
    <t>Obermumpf</t>
  </si>
  <si>
    <t>Olsberg</t>
  </si>
  <si>
    <t>Rheinfelden</t>
  </si>
  <si>
    <t>Schupfart</t>
  </si>
  <si>
    <t>Wallbach</t>
  </si>
  <si>
    <t>Wegenstetten</t>
  </si>
  <si>
    <t>Zeiningen</t>
  </si>
  <si>
    <t>Zuzgen</t>
  </si>
  <si>
    <t>Bezirk Zofingen</t>
  </si>
  <si>
    <t>Aarburg</t>
  </si>
  <si>
    <t>Attelwil</t>
  </si>
  <si>
    <t>Bottenwil</t>
  </si>
  <si>
    <t>Brittnau</t>
  </si>
  <si>
    <t>Kirchleerau</t>
  </si>
  <si>
    <t>Kölliken</t>
  </si>
  <si>
    <t>Moosleerau</t>
  </si>
  <si>
    <t>Murgenthal</t>
  </si>
  <si>
    <t>Oftringen</t>
  </si>
  <si>
    <t>Reitnau</t>
  </si>
  <si>
    <t>Rothrist</t>
  </si>
  <si>
    <t>Safenwil</t>
  </si>
  <si>
    <t>Staffelbach</t>
  </si>
  <si>
    <t>Strengelbach</t>
  </si>
  <si>
    <t>Uerkheim</t>
  </si>
  <si>
    <t>Vordemwald</t>
  </si>
  <si>
    <t>Wiliberg</t>
  </si>
  <si>
    <t>Zofingen</t>
  </si>
  <si>
    <t>Bezirk Zurzach</t>
  </si>
  <si>
    <t>Bad Zurzach</t>
  </si>
  <si>
    <t>Baldingen</t>
  </si>
  <si>
    <t>Böbikon</t>
  </si>
  <si>
    <t>Böttstein</t>
  </si>
  <si>
    <t>Döttingen</t>
  </si>
  <si>
    <t>Endingen</t>
  </si>
  <si>
    <t>Fisibach</t>
  </si>
  <si>
    <t>Full-Reuenthal</t>
  </si>
  <si>
    <t>Kaiserstuhl</t>
  </si>
  <si>
    <t>Klingnau</t>
  </si>
  <si>
    <t>Koblenz</t>
  </si>
  <si>
    <t>Leibstadt</t>
  </si>
  <si>
    <t>Leuggern</t>
  </si>
  <si>
    <t>Mellikon</t>
  </si>
  <si>
    <t>Rietheim</t>
  </si>
  <si>
    <t>Rümikon</t>
  </si>
  <si>
    <t>Schneisingen</t>
  </si>
  <si>
    <t>Siglistorf</t>
  </si>
  <si>
    <t>Tegerfelden</t>
  </si>
  <si>
    <t>Unterendingen</t>
  </si>
  <si>
    <t>Wislikofen</t>
  </si>
  <si>
    <t>6:</t>
  </si>
  <si>
    <t>7:</t>
  </si>
  <si>
    <t>8:</t>
  </si>
  <si>
    <t>9:</t>
  </si>
  <si>
    <t>10:</t>
  </si>
  <si>
    <t>19:</t>
  </si>
  <si>
    <t>20:</t>
  </si>
  <si>
    <t>24:</t>
  </si>
  <si>
    <t>25:</t>
  </si>
  <si>
    <t>Gegenstand der Steuerstatistik</t>
  </si>
  <si>
    <t>Datenbasis</t>
  </si>
  <si>
    <t>Sachliche Abgrenzungen: Die Steuerstatistik der natürlichen Personen erfasst die besteuerten natürlichen Personen. Nicht enthalten sind die quellenbesteuerten Ausländer, die Kapitalgesellschaften und Genossenschaften, die mit einer Jahressteuer separat erfassten Einkünfte (z.B. Vorsorge) sowie die Grundstückgewinn- und Erbschaftssteuern.</t>
  </si>
  <si>
    <t>Über die Kapitalgesellschaften, Genossenschaften, Stiftungen und Vereine ist ebenfalls für das Jahr 2011 eine Publikation (Steuerstatistik 2011 – Juristische Personen, stat.kurzinfo Nr. 9) erschienen.</t>
  </si>
  <si>
    <t>Bei den Steuern handelt es sich in der Regel um die einfache (100%-ige) Kantonssteuer. Nicht berücksichtigt sind somit die vom Grossen Rat festgesetzte Reduktion des Steuerfusses sowie ein allfälliger Zuschlag für den direkten Finanzausgleich, der im Spitalgesetz festgelegte Zuschlag und die Steuern der Gemeinden.</t>
  </si>
  <si>
    <t>a) Einkünfte</t>
  </si>
  <si>
    <t>- Einkünfte aus selbständiger Tätigkeit (Einzelperson/Ehemann und Ehefrau)</t>
  </si>
  <si>
    <t>- Einkünfte aus unselbständiger Tätigkeit (Einzelperson/Ehemann und Ehefrau)</t>
  </si>
  <si>
    <t>- Einkünfte aus Sozial- und anderen Versicherungen (Einzelperson/Ehemann und Ehefrau)</t>
  </si>
  <si>
    <t>- Einkünfte aus Wertschriften und Kapitalanlagen</t>
  </si>
  <si>
    <t>- Einkünfte aus Liegenschaften inkl. Nutzniessung und Wohnrecht</t>
  </si>
  <si>
    <t>- Weitere Einkünfte und Gewinne (wie Unterhaltsbeiträge, Erträge aus unverteilten Erbschaften oder Geschäftsanteilen Dritter, Kapitalabfindungen für wiederkehrende Leistungen etc.)</t>
  </si>
  <si>
    <t>b) Abzüge</t>
  </si>
  <si>
    <t>- Berufskosten bei unselbständiger Tätigkeit (Einzelperson / Ehemann und Ehefrau)</t>
  </si>
  <si>
    <t>- Schuldzinsen</t>
  </si>
  <si>
    <t>- Einkaufsbeiträge Säule 2 und Beiträge Säule 3a (Einzelperson / Ehemann und Ehefrau)</t>
  </si>
  <si>
    <t>- Versicherungsprämien und Zinsen von Sparkapitalien</t>
  </si>
  <si>
    <t>- Weitere Abzüge (wie persönliche Beiträge nicht erwerbstätiger Personen an die AHV / IV / EO, Zuwendungen an steuerbefreite politische Parteien, freiwillige Zuwendungen, Vermögensverwaltungskosten, Sonderabzug für zweitverdienenden Ehegatten, Krankheits-, Unfall- oder Invaliditätskosten etc.)</t>
  </si>
  <si>
    <t>- Steuerfreibeträge (Kinderabzug, Unterstützungsabzug für unterstützte Personen, Invalidenabzug und Betreuungsabzug)</t>
  </si>
  <si>
    <t>- Zusätzlicher Sozialabzug für tiefe Einkommen (Kleinverdienerabzug)</t>
  </si>
  <si>
    <t>c) Einkommen</t>
  </si>
  <si>
    <t>Verfügbare Informationen</t>
  </si>
  <si>
    <t>In der Analyse wurden folgende Informationen für die Auswertungen verwendet:</t>
  </si>
  <si>
    <t>- Total Einkünfte</t>
  </si>
  <si>
    <t>- Reineinkommen insgesamt</t>
  </si>
  <si>
    <t>- Steuerbares Einkommen insgesamt</t>
  </si>
  <si>
    <t>- Satzbestimmendes Einkommen</t>
  </si>
  <si>
    <t>- Steuerbares Einkommen Kanton Aargau</t>
  </si>
  <si>
    <t>d) Vermögenswerte</t>
  </si>
  <si>
    <t>- Wertschriften und Guthaben</t>
  </si>
  <si>
    <t>- Lebens- und Rentenversicherungen</t>
  </si>
  <si>
    <t>- Liegenschaften</t>
  </si>
  <si>
    <t>- Betriebsvermögen selbständig Erwerbender</t>
  </si>
  <si>
    <t>- Übrige Vermögenswerte (wie Bargeld, Gold und andere Edelmetalle, Guthaben Verrechnungssteuer, Anteile an unverteilten Erbschaften, Private Fahrzeuge etc.)</t>
  </si>
  <si>
    <t>e) Schulden</t>
  </si>
  <si>
    <t>- Steuerfreibetrag</t>
  </si>
  <si>
    <t>- Abzug für Kinder</t>
  </si>
  <si>
    <t>f) Steuerfreie Beträge</t>
  </si>
  <si>
    <t>g) Vermögen</t>
  </si>
  <si>
    <t>- Total Vermögenswerte</t>
  </si>
  <si>
    <t>- Reinvermögen insgesamt</t>
  </si>
  <si>
    <t>- Steuerbares Vermögen insgesamt</t>
  </si>
  <si>
    <t>- Satzbestimmendes Vermögen</t>
  </si>
  <si>
    <t>- Steuerbares Vermögen Kanton Aargau</t>
  </si>
  <si>
    <t>Besondere Hinweise</t>
  </si>
  <si>
    <t>Die Daten aus dem «VERANA» (computerunterstützte Veranlagung der natürlichen Personen), die von den Gemeinden direkt an das kantonale Steueramt übermittelt werden, dienen als Datengrundlage. Für die Statistik werden alle Daten von Steuerpflichtigen berücksichtigt, die vom Gemeindesteueramt mindestens geprüft wurden und einen genau definierten Veranlagungsstand (Status) erreicht haben, d.h. die Angaben von Pflichtigen, für die erst eine Selbstdeklaration verfügbar ist, werden nicht einbezogen; es muss mindestens eine Freigabe durch die Vorsteherin oder den Vorsteher des Gemeindesteueramts vorliegen.</t>
  </si>
  <si>
    <t>Ab 2001 sind die Steuerstatistiken nur bedingt mit den früheren Ausgaben zu vergleichen, denn mit der Einführung des neuen Steuergesetzes vom 15. Dezember 1998 (per 1. Januar 2001) sind massgebliche Änderungen gegenüber früheren Jahren vorgenommen worden: einjährige Gegenwartsbemessung, neue Tarife sowohl bei der Einkommenssteuer (Vollsplitting) als auch bei der Vermögenssteuer, in der Höhe veränderte Abzüge (z.B. Kinderabzug), neue Abzüge (z.B. Kinderbetreuungsabzug), alte Abzüge wurden gestrichen (z.B. Lohnausweisabzug) etc.</t>
  </si>
  <si>
    <t>Vergleichbar mit den Auswertungen von früheren Steuerstatistiken der natürlichen Personen werden weiterhin auch die steuerlichen Verhältnisse untersucht und dargestellt. Die Analysen betreffen jeweils alle im Kanton Aargau steuerpflichtigen Personen, also auch die sekundär steuerpflichtigen. Im Unterschied zu früheren Ausgaben werden in diesem Teil nur die im Kanton Aargau steuerbaren Einkommen und Vermögen in die Betrachtungen miteinbezogen (nicht aber das Total der Einkünfte im Kanton Aargau und die Reineinkommen im Kanton Aargau sowie das Total der Vermögenswerte im Kanton Aargau und die Reinvermögen im Kanton Aargau). Berücksichtigt sind somit ausschliesslich die im Kanton Aargau steuerbaren Einkommen und Vermögen. Die ausserkantonalen Steuerfaktoren werden lediglich für die Bestimmung des Steuersatzes verwendet.</t>
  </si>
  <si>
    <t xml:space="preserve">                                                     Ehefrau</t>
  </si>
  <si>
    <r>
      <t>Pflichtige</t>
    </r>
    <r>
      <rPr>
        <vertAlign val="superscript"/>
        <sz val="10"/>
        <rFont val="Arial"/>
        <family val="2"/>
      </rPr>
      <t>1</t>
    </r>
  </si>
  <si>
    <r>
      <t>Anzahl Pflichtige</t>
    </r>
    <r>
      <rPr>
        <vertAlign val="superscript"/>
        <sz val="10"/>
        <rFont val="Arial"/>
        <family val="2"/>
      </rPr>
      <t>1</t>
    </r>
  </si>
  <si>
    <t>2. Negative Werte von einzelnen Pflichtigen beim Total der Einkünfte, beim Reineinkommen, beim Total der Vermögenswerte oder beim Reinvermögen wurden auf Null gesetzt. Die einzelnen Einkommens– und Vermögensteile wurden jedoch nicht angepasst. Das hat zur Folge, dass eine Addition der einzelnen Positionen in der Regel nicht mit den ausgewiesenen Summen übereinstimmt.</t>
  </si>
  <si>
    <r>
      <t>Total der Vermögenswerte</t>
    </r>
    <r>
      <rPr>
        <b/>
        <vertAlign val="superscript"/>
        <sz val="10"/>
        <rFont val="Arial"/>
        <family val="2"/>
      </rPr>
      <t>2</t>
    </r>
  </si>
  <si>
    <r>
      <t>Reineinkommen</t>
    </r>
    <r>
      <rPr>
        <b/>
        <vertAlign val="superscript"/>
        <sz val="10"/>
        <rFont val="Arial"/>
        <family val="2"/>
      </rPr>
      <t>2</t>
    </r>
  </si>
  <si>
    <r>
      <t>Total Einkünfte</t>
    </r>
    <r>
      <rPr>
        <b/>
        <vertAlign val="superscript"/>
        <sz val="10"/>
        <rFont val="Arial"/>
        <family val="2"/>
      </rPr>
      <t>2</t>
    </r>
  </si>
  <si>
    <t>1. Bei den Steuerpflichtigen handelt es sich um Primär- und Sekundärpflichtige.</t>
  </si>
  <si>
    <r>
      <t>Reinvermögen</t>
    </r>
    <r>
      <rPr>
        <b/>
        <vertAlign val="superscript"/>
        <sz val="10"/>
        <rFont val="Arial"/>
        <family val="2"/>
      </rPr>
      <t>2</t>
    </r>
  </si>
  <si>
    <r>
      <t>Renten–
empfänger, Erwerbsanteil unter 20%</t>
    </r>
    <r>
      <rPr>
        <vertAlign val="superscript"/>
        <sz val="10"/>
        <rFont val="Arial"/>
        <family val="2"/>
      </rPr>
      <t>2</t>
    </r>
  </si>
  <si>
    <r>
      <t>Renten–
empfänger, Erwerbsanteil 20% – 49%</t>
    </r>
    <r>
      <rPr>
        <vertAlign val="superscript"/>
        <sz val="10"/>
        <rFont val="Arial"/>
        <family val="2"/>
      </rPr>
      <t>3</t>
    </r>
  </si>
  <si>
    <r>
      <t>Total Einkünfte</t>
    </r>
    <r>
      <rPr>
        <b/>
        <vertAlign val="superscript"/>
        <sz val="10"/>
        <rFont val="Arial"/>
        <family val="2"/>
      </rPr>
      <t>4</t>
    </r>
  </si>
  <si>
    <r>
      <t>Reineinkommen</t>
    </r>
    <r>
      <rPr>
        <b/>
        <vertAlign val="superscript"/>
        <sz val="10"/>
        <rFont val="Arial"/>
        <family val="2"/>
      </rPr>
      <t>4</t>
    </r>
  </si>
  <si>
    <r>
      <t>Total der Vermögenswerte</t>
    </r>
    <r>
      <rPr>
        <b/>
        <vertAlign val="superscript"/>
        <sz val="10"/>
        <rFont val="Arial"/>
        <family val="2"/>
      </rPr>
      <t>4</t>
    </r>
  </si>
  <si>
    <r>
      <t>Reinvermögen</t>
    </r>
    <r>
      <rPr>
        <b/>
        <vertAlign val="superscript"/>
        <sz val="10"/>
        <rFont val="Arial"/>
        <family val="2"/>
      </rPr>
      <t>4</t>
    </r>
  </si>
  <si>
    <t>2. Steuerpflichtige Rentenempfänger, die unabhängig ihres Alters ein Renten– und Pensionseinkommen aufweisen, das mindestens 80% des gesamten Erwerbs–, Renten- und Pensionseinkommens ausmacht.</t>
  </si>
  <si>
    <t>3. Steuerpflichtige Rentenempfänger, die unabhängig ihres Alters ein Renten– und Pensionseinkommen aufweisen, das über 50% aber unter 80% des gesamten Erwerbs–, Renten– und Pensionseinkommens ausmacht.</t>
  </si>
  <si>
    <t>4. Negative Werte von einzelnen Pflichtigen beim Total der Einkünfte, beim Reineinkommen, beim Total der Vermögenswerte oder beim Reinvermögen wurden auf Null gesetzt. Die einzelnen Einkommens– und Vermögensteile wurden jedoch nicht angepasst. Das hat zur Folge, dass eine Addition der einzelnen Positionen in der Regel nicht mit den ausgewiesenen Summen übereinstimmt.</t>
  </si>
  <si>
    <t>1. Bei den Steuerpflichtigen handelt es sich um Steuerpflichtige unter 65 Jahren mit Wohnsitz im Kanton Aargau (Primärpflichtige).</t>
  </si>
  <si>
    <t>1. Bei den Steuerpflichtigen handelt es sich um Steuerpflichtige (65 Jahre und älter) mit Wohnsitz im Kanton Aargau (Primärpflichtige).</t>
  </si>
  <si>
    <t>1. Bei den Steuerpflichtigen handelt es sich um Primär- und Sekundärpflichtige (65 Jahre und älter).</t>
  </si>
  <si>
    <t>Steuerpflichtige im Kanton Aargau insgesamt</t>
  </si>
  <si>
    <r>
      <t>2. Steuerpflichtige, die im Kanton nur für einen Teil ihres Einkommens steuerpflichtig sind, entrichten die Steuern für die im Kanton steuerbaren Werte nach dem Steuersatz, der ihrem gesamten Einkommen entspricht. Steuerfreie Beiträge werden anteilsmässig gewährt (</t>
    </r>
    <r>
      <rPr>
        <sz val="9"/>
        <color theme="1"/>
        <rFont val="Calibri"/>
        <family val="2"/>
      </rPr>
      <t>§</t>
    </r>
    <r>
      <rPr>
        <sz val="9"/>
        <color theme="1"/>
        <rFont val="Arial"/>
        <family val="2"/>
      </rPr>
      <t>19 Abs. 1 StG). Als Folge kann die ausgewiesene Steuerbelastung, die auf das steuerbare Einkommen im Kanton Aargau bezogen ist, einerseits für tiefe Einkommen höher ausfallen als für höhere und andererseits auch für die Steuerbelastung einer Klasse beim Tarif B grösser sein als beim Tarif B.</t>
    </r>
  </si>
  <si>
    <t>Mettauertal</t>
  </si>
  <si>
    <t>28:</t>
  </si>
  <si>
    <t>Vermögenssteuer</t>
  </si>
  <si>
    <t>Total Steuer</t>
  </si>
  <si>
    <t>22a:</t>
  </si>
  <si>
    <t>22b:</t>
  </si>
  <si>
    <t>Altersklassen</t>
  </si>
  <si>
    <t>Reineinkommen in Franken pro Pflichtigen</t>
  </si>
  <si>
    <t>0 - 19</t>
  </si>
  <si>
    <t>20 - 29</t>
  </si>
  <si>
    <t>30 - 39</t>
  </si>
  <si>
    <t>40 - 49</t>
  </si>
  <si>
    <t>50 - 59</t>
  </si>
  <si>
    <t>60 - 64</t>
  </si>
  <si>
    <t>Reinvermögen in Franken pro Pflichtigen</t>
  </si>
  <si>
    <t>Einkommenssteuer (in 1‘000 Franken)</t>
  </si>
  <si>
    <t>25.0 –   49.9</t>
  </si>
  <si>
    <t>50.0 –   74.9</t>
  </si>
  <si>
    <t>75.0 –   99.9</t>
  </si>
  <si>
    <t>100.0 – 199.9</t>
  </si>
  <si>
    <t xml:space="preserve">      200.0 –</t>
  </si>
  <si>
    <t>0.1 –   24.9</t>
  </si>
  <si>
    <t>0.1 –  199.9</t>
  </si>
  <si>
    <t>200 –  499.9</t>
  </si>
  <si>
    <t>500 –  999.9</t>
  </si>
  <si>
    <t>Vermögenssteuer (in 1‘000 Franken)</t>
  </si>
  <si>
    <t>Kantonssteuer</t>
  </si>
  <si>
    <t>Einkommenssteuer (100%)</t>
  </si>
  <si>
    <t>Vermögenssteuer (100 %)</t>
  </si>
  <si>
    <t>Stufen des steuerbaren Vermögens</t>
  </si>
  <si>
    <t>Stufen des steuerbaren Einkommens</t>
  </si>
  <si>
    <t>steuerbares Vermögen</t>
  </si>
  <si>
    <t xml:space="preserve">       100'000 –</t>
  </si>
  <si>
    <t>0 Fr.</t>
  </si>
  <si>
    <t>0.1           -  24'999 Fr.</t>
  </si>
  <si>
    <t>25'000    -  49'999 Fr.</t>
  </si>
  <si>
    <t>50'000    -  74'999 Fr.</t>
  </si>
  <si>
    <t>75'000    -  99'999 Fr.</t>
  </si>
  <si>
    <t>100'000  - 199'999 Fr.</t>
  </si>
  <si>
    <t>200'000 Fr. +</t>
  </si>
  <si>
    <t>0.1                -  199'999 Fr.</t>
  </si>
  <si>
    <t>200'000       -  499'999 Fr.</t>
  </si>
  <si>
    <t>500'000       -  999'999 Fr.</t>
  </si>
  <si>
    <t>1'000'000    -  1'999'999 Fr.</t>
  </si>
  <si>
    <t>2'000'000 Fr. +</t>
  </si>
  <si>
    <r>
      <t>Median</t>
    </r>
    <r>
      <rPr>
        <vertAlign val="superscript"/>
        <sz val="10"/>
        <rFont val="Arial"/>
        <family val="2"/>
      </rPr>
      <t>1</t>
    </r>
  </si>
  <si>
    <t>1. Dieser lagetypische Messwert halbiert eine Ihrer Grösse nach geordnete Reihe von Messwerten, d.h. die geordnete Reihe von Beobachtungswerten wird durch den Median in zwei gleich Teile zerlegt (50% der Einkommen bzw. Vermögen sind kleiner als der Median und die übrigen 50% sind grösser).</t>
  </si>
  <si>
    <t>-24.9</t>
  </si>
  <si>
    <t>150 +</t>
  </si>
  <si>
    <t>500.0 +</t>
  </si>
  <si>
    <t>Fischbach-Göslikon</t>
  </si>
  <si>
    <t>Hermetschwil-Staffeln</t>
  </si>
  <si>
    <t>Rudolfstetten-Friedl.</t>
  </si>
  <si>
    <t>23:</t>
  </si>
  <si>
    <t>26a:</t>
  </si>
  <si>
    <t>26b:</t>
  </si>
  <si>
    <t>11a:</t>
  </si>
  <si>
    <t>11b:</t>
  </si>
  <si>
    <t>12a:</t>
  </si>
  <si>
    <t>12b:</t>
  </si>
  <si>
    <t>13a:</t>
  </si>
  <si>
    <t>13b:</t>
  </si>
  <si>
    <t>14a:</t>
  </si>
  <si>
    <t>14b:</t>
  </si>
  <si>
    <t>15a:</t>
  </si>
  <si>
    <t>15b:</t>
  </si>
  <si>
    <t>21a:</t>
  </si>
  <si>
    <t>21b:</t>
  </si>
  <si>
    <t>27:</t>
  </si>
  <si>
    <t>Rein-
einkommen</t>
  </si>
  <si>
    <t>Rein-
vermögen</t>
  </si>
  <si>
    <t>Verheiratete Einverdienerpaare</t>
  </si>
  <si>
    <t>Verheiratete Zweiverdienerpaare</t>
  </si>
  <si>
    <t>(siehe snat_pubG4_Flyer.sps)</t>
  </si>
  <si>
    <t>Buchs (AG)</t>
  </si>
  <si>
    <t>Erlinsbach (AG)</t>
  </si>
  <si>
    <t>Birmenstorf (AG)</t>
  </si>
  <si>
    <t>Stetten (AG)</t>
  </si>
  <si>
    <t>Arni (AG)</t>
  </si>
  <si>
    <t>Bremgarten (AG)</t>
  </si>
  <si>
    <t>Niederwil (AG)</t>
  </si>
  <si>
    <t>Wohlen (AG)</t>
  </si>
  <si>
    <t>Hausen (AG)</t>
  </si>
  <si>
    <t>Thalheim (AG)</t>
  </si>
  <si>
    <t>Veltheim (AG)</t>
  </si>
  <si>
    <t>Burg (AG)</t>
  </si>
  <si>
    <t>Leimbach (AG)</t>
  </si>
  <si>
    <t>Reinach (AG)</t>
  </si>
  <si>
    <t>Teufenthal (AG)</t>
  </si>
  <si>
    <t>Münchwilen (AG)</t>
  </si>
  <si>
    <t>Holderbank (AG)</t>
  </si>
  <si>
    <t>Muri (AG)</t>
  </si>
  <si>
    <t>Stein (AG)</t>
  </si>
  <si>
    <t>Lengnau (AG)</t>
  </si>
  <si>
    <t>Rekingen (AG)</t>
  </si>
  <si>
    <t>Reineinkommen 
in Mio. Fr.</t>
  </si>
  <si>
    <t>Reinvermögen
in Mio. Fr.</t>
  </si>
  <si>
    <t>Kantonssteuer
in Mio Fr.</t>
  </si>
  <si>
    <t>in Fr.</t>
  </si>
  <si>
    <t>Einkommenssteuer 100% in Fr. pro Pflichtigen</t>
  </si>
  <si>
    <t>Vermögenssteuer 100% 
in Fr. pro Pflichtigen</t>
  </si>
  <si>
    <t>Kantonssteuer 100%
in Fr. pro Pflichtigen</t>
  </si>
  <si>
    <r>
      <t>Bruttoeinkommen</t>
    </r>
    <r>
      <rPr>
        <vertAlign val="superscript"/>
        <sz val="10"/>
        <rFont val="Arial"/>
        <family val="2"/>
      </rPr>
      <t xml:space="preserve">2
</t>
    </r>
    <r>
      <rPr>
        <sz val="10"/>
        <rFont val="Arial"/>
        <family val="2"/>
      </rPr>
      <t>in Fr.</t>
    </r>
  </si>
  <si>
    <t>Stufen der Reinvermögens in 1'000 Fr.</t>
  </si>
  <si>
    <t>Reineinkommen
in 1'000 Fr.</t>
  </si>
  <si>
    <t>Reinvermögen
in 1'000 Fr.</t>
  </si>
  <si>
    <t>Stufen des Reinvermögens
in 1'000 Fr.</t>
  </si>
  <si>
    <t>Stufen des Reineinkommens 
in 1'000 Fr.</t>
  </si>
  <si>
    <t>Stufen des Reineinkommens
in 1'000 Fr.</t>
  </si>
  <si>
    <t>Stufen des Reinvermögens 
in 1'000 Fr.</t>
  </si>
  <si>
    <t>Stufen des steuerbaren Einkommens 
in 1'000 Fr.</t>
  </si>
  <si>
    <t>Stufen des steuerbaren Vermögens 
in 1'000 Fr.</t>
  </si>
  <si>
    <r>
      <t>Stufen der 
Einkommenssteuer</t>
    </r>
    <r>
      <rPr>
        <vertAlign val="superscript"/>
        <sz val="10"/>
        <rFont val="Arial"/>
        <family val="2"/>
      </rPr>
      <t>1</t>
    </r>
    <r>
      <rPr>
        <sz val="10"/>
        <rFont val="Arial"/>
        <family val="2"/>
      </rPr>
      <t xml:space="preserve">
in Fr.</t>
    </r>
  </si>
  <si>
    <r>
      <t>Stufen der Vermögenssteuer</t>
    </r>
    <r>
      <rPr>
        <vertAlign val="superscript"/>
        <sz val="10"/>
        <rFont val="Arial"/>
        <family val="2"/>
      </rPr>
      <t>1</t>
    </r>
    <r>
      <rPr>
        <sz val="10"/>
        <rFont val="Arial"/>
        <family val="2"/>
      </rPr>
      <t xml:space="preserve"> in Fr.</t>
    </r>
  </si>
  <si>
    <t>Stufen des steuerbaren Einkommens
in 1'000 Fr.</t>
  </si>
  <si>
    <t>Stufen des Reineinkommens im In- und Ausland
(in 1'000 Fr.)</t>
  </si>
  <si>
    <t>Stufen des Reinvermögens im In- und Ausland
(in 1'000 Fr.)</t>
  </si>
  <si>
    <t>2. Steuerpflichtige Rentenempfänger, die unabhängig ihres Alters ein Renten- und Pensionseinkommen aufweisen, das mindestens 80 % des gesamten Erwerbs-, Renten- und Pensionseinkommens ausmacht.</t>
  </si>
  <si>
    <t>3. Steuerpflichtige Rentenempfänger, die unabhängig ihres Alters ein Renten- und Pensionseinkommen aufweisen, das über 50 % aber unter 80 % des gesamten Erwerbs-, Renten- und Pensionseinkommens ausmacht.</t>
  </si>
  <si>
    <r>
      <t>Rentner
Erwerbsanteil unter 20%</t>
    </r>
    <r>
      <rPr>
        <vertAlign val="superscript"/>
        <sz val="10"/>
        <rFont val="Arial"/>
        <family val="2"/>
      </rPr>
      <t>2</t>
    </r>
  </si>
  <si>
    <r>
      <t>Rentner 
Erwerbsanteil 20% - 49%</t>
    </r>
    <r>
      <rPr>
        <vertAlign val="superscript"/>
        <sz val="10"/>
        <rFont val="Arial"/>
        <family val="2"/>
      </rPr>
      <t>3</t>
    </r>
  </si>
  <si>
    <t>1. Bei den Steuerpflichtigen handelt es sich um Steuerpflichtige (&lt; 65 Jahre) mit Wohnsitz im Kanton Aargau (Primärpflichtige).</t>
  </si>
  <si>
    <t>Aufgrund der gelieferten Angaben sind neue Möglichkeiten für die Auswertung geschaffen worden. Durch die Verfügbarkeit von sehr vielen Detailangaben bezüglich Einkommen und Vermögen von rund 350‘000 Pflichtigen, die vom 1. Januar bis zum 31. Dezember eines Jahres im Kanton Aargau steuerpflichtig waren (dies entspricht einem Anteil von jeweils deutlich über 90 % aller Pflichtigen des Kantons), können nun ab 2001 zusätzlich zu den steuerlichen Auswertungen auch die Einkommens- und Vermögensverhältnisse differenziert nach verschiedenen Merkmalen (Zivilstand, Alter, Erwerbsart, Familientyp, Verdienerzahl etc.) analysiert werden. Diese Informationen sind für die Gesellschafts- und Sozialpolitik von hohem Interesse und stehen im Kanton Aargau zum ersten Mal in dieser Breite zur Verfügung. Analysen zum Einkommen und Vermögen umfassen jeweils alle Steuerpflichtigen mit Wohnsitz im Kanton Aargau, d.h. keine sekundär Steuerpflichtigen, die nicht im Kanton Aargau wohnen, jedoch aufgrund wirtschaftlicher Zugehörigkeit steuerpflichtig sind (Liegenschaften, Betriebsstätten).</t>
  </si>
  <si>
    <t xml:space="preserve">           1'000 –</t>
  </si>
  <si>
    <t>1'000 –1'999.9</t>
  </si>
  <si>
    <t xml:space="preserve">      2'000 –</t>
  </si>
  <si>
    <r>
      <t>Reineinkommen
in Fr.</t>
    </r>
    <r>
      <rPr>
        <vertAlign val="superscript"/>
        <sz val="10"/>
        <rFont val="Arial"/>
        <family val="2"/>
      </rPr>
      <t>3</t>
    </r>
  </si>
  <si>
    <r>
      <t>steuerbares Einkommen
in Fr.</t>
    </r>
    <r>
      <rPr>
        <vertAlign val="superscript"/>
        <sz val="10"/>
        <rFont val="Arial"/>
        <family val="2"/>
      </rPr>
      <t>4</t>
    </r>
  </si>
  <si>
    <r>
      <t>Bruttovermögen</t>
    </r>
    <r>
      <rPr>
        <vertAlign val="superscript"/>
        <sz val="10"/>
        <rFont val="Arial"/>
        <family val="2"/>
      </rPr>
      <t xml:space="preserve">5
</t>
    </r>
    <r>
      <rPr>
        <sz val="10"/>
        <rFont val="Arial"/>
        <family val="2"/>
      </rPr>
      <t>in Fr.</t>
    </r>
  </si>
  <si>
    <r>
      <t>Reinvermögen
in Fr.</t>
    </r>
    <r>
      <rPr>
        <vertAlign val="superscript"/>
        <sz val="10"/>
        <rFont val="Arial"/>
        <family val="2"/>
      </rPr>
      <t>6</t>
    </r>
  </si>
  <si>
    <r>
      <t>steuerbares Vermögen
in Fr.</t>
    </r>
    <r>
      <rPr>
        <vertAlign val="superscript"/>
        <sz val="10"/>
        <rFont val="Arial"/>
        <family val="2"/>
      </rPr>
      <t>7</t>
    </r>
  </si>
  <si>
    <t>3. Basiert auf den Einkünften im In- und Ausland.</t>
  </si>
  <si>
    <t>2. Beinhaltet die gesamten Einkünfte im In– und Ausland.</t>
  </si>
  <si>
    <t>4. Basiert auf den Einkünften im Kanton Aargau.</t>
  </si>
  <si>
    <t>5. Beinhaltet die gesamten Vermögenswerte im In– und Ausland.</t>
  </si>
  <si>
    <t>6. Basiert auf den Vermögenswerten im In– und Ausland.</t>
  </si>
  <si>
    <t>7. Basiert auf den Vermögenswerten im Kanton Aargau.</t>
  </si>
  <si>
    <t>4. Beinhaltet die gesamten Vermögenswerte im In– und Ausland.</t>
  </si>
  <si>
    <t>5. Basiert auf den Vermögenswerten im In– und Ausland.</t>
  </si>
  <si>
    <r>
      <t>Total Einkünfte</t>
    </r>
    <r>
      <rPr>
        <vertAlign val="superscript"/>
        <sz val="10"/>
        <rFont val="Arial"/>
        <family val="2"/>
      </rPr>
      <t>2</t>
    </r>
  </si>
  <si>
    <r>
      <t>Reineinkommen</t>
    </r>
    <r>
      <rPr>
        <vertAlign val="superscript"/>
        <sz val="10"/>
        <rFont val="Arial"/>
        <family val="2"/>
      </rPr>
      <t>3</t>
    </r>
  </si>
  <si>
    <r>
      <t>Totale Vermögenswerte</t>
    </r>
    <r>
      <rPr>
        <vertAlign val="superscript"/>
        <sz val="10"/>
        <rFont val="Arial"/>
        <family val="2"/>
      </rPr>
      <t>4</t>
    </r>
  </si>
  <si>
    <r>
      <t>Reinvermögen</t>
    </r>
    <r>
      <rPr>
        <vertAlign val="superscript"/>
        <sz val="10"/>
        <rFont val="Arial"/>
        <family val="2"/>
      </rPr>
      <t>5</t>
    </r>
  </si>
  <si>
    <t>Einkünfte im In- und Ausland</t>
  </si>
  <si>
    <t>Vermögen im In- und Ausland</t>
  </si>
  <si>
    <t>Einkommens- bzw. Vermögensteile
Durchschnittswerte in Franken pro Pflichtigen</t>
  </si>
  <si>
    <t>un-
selbstständige</t>
  </si>
  <si>
    <t>Ledige, Verwitwete, Geschie-
dene und getrennt Lebende</t>
  </si>
  <si>
    <r>
      <t>Rentner 
Erwerbsanteil 20% – 49%</t>
    </r>
    <r>
      <rPr>
        <vertAlign val="superscript"/>
        <sz val="10"/>
        <rFont val="Arial"/>
        <family val="2"/>
      </rPr>
      <t>3</t>
    </r>
  </si>
  <si>
    <t>Ledige, Verwitwete, Geschiedene und 
getrennt Lebende</t>
  </si>
  <si>
    <t>25.0 – 49.9</t>
  </si>
  <si>
    <t>50.0 – 99.9</t>
  </si>
  <si>
    <t>100.0 – 149.9</t>
  </si>
  <si>
    <t>–49.9</t>
  </si>
  <si>
    <t>200.0 – 499.9</t>
  </si>
  <si>
    <t>Steuerbares
Einkommen pro
Pflichtigen in Fr.</t>
  </si>
  <si>
    <t>Steuerstatistik 2013 – Natürliche Personen</t>
  </si>
  <si>
    <t>Zeitliche Entwicklung von 2001 bis 2013</t>
  </si>
  <si>
    <t>Entwicklung der Pflichtigenzahl und der durchschnittlichen Einkommen und Vermögen, 2001 – 2013</t>
  </si>
  <si>
    <t>2. Vermögenssteuer (100%) in Promille des steuerbaren Vermögens im Kanton Aargau.</t>
  </si>
  <si>
    <t>Entwicklung der Steuerbelastung von Pflichtigen mit Wohnsitz im Kanton Aargau, 2001 – 2013</t>
  </si>
  <si>
    <t>Verteilung der Pflichtigen, Einkommen und Vermögen nach Stufen des Reineinkommens, 2013</t>
  </si>
  <si>
    <t>Verteilung der Pflichtigen, Einkommen und Vermögen nach Stufen des Reinvermögens, 2013</t>
  </si>
  <si>
    <t>Verteilung der Pflichtigen nach Reineinkommens- und Reinvermögensstufen, 2013, in Promille</t>
  </si>
  <si>
    <t>Zusammensetzung des Reineinkommens und des Reinvermögens nach Zivilstand, 2013, in Franken pro Pflichtigen</t>
  </si>
  <si>
    <t>Zusammensetzung des Reineinkommens und des Reinvermögens nach Altersklassen, 2013, in Franken pro Pflichtigen</t>
  </si>
  <si>
    <t>Zusammensetzung des Reineinkommens und des Reinvermögens nach Erwerbsart, 2013, in Franken pro Pflichtigen</t>
  </si>
  <si>
    <t>Zusammensetzung des Reineinkommens und des Reinvermögens nach Familientyp, 2013, in Franken pro Pflichtigen</t>
  </si>
  <si>
    <t>Verteilung der Pflichtigen und des Reineinkommens nach Zivilstand und Stufen des Reineinkommens, 2013</t>
  </si>
  <si>
    <t>Verteilung der Pflichtigen und des Reinvermögens nach Zivilstand und Stufen des Reinvermögens, 2013</t>
  </si>
  <si>
    <t>Verteilung der Pflichtigen und des Reineinkommens nach Altersklassen und Stufen des Reineinkommens, 2013</t>
  </si>
  <si>
    <t>Verteilung der Pflichtigen und des Reinvermögens nach Altersklassen und Stufen des Reinvermögens, 2013</t>
  </si>
  <si>
    <t>Verteilung der Pflichtigen und des Reineinkommens nach Erwerbsart und Stufen des Reineinkommens, 2013</t>
  </si>
  <si>
    <t>Verteilung der Pflichtigen und des Reinvermögens nach Erwerbsart und Stufen des Reinvermögens, 2013</t>
  </si>
  <si>
    <t>Verteilung der Pflichtigen und des Reinvermögens nach Familientyp und Stufen des Reineinkommens, 2013</t>
  </si>
  <si>
    <t>Verteilung der Pflichtigen und des Reinvermögens nach Familientyp und Stufen des Reinvermögens 2013</t>
  </si>
  <si>
    <t>Verteilung der Pflichtigen (unter 65 Jahren) und des Reineinkommens nach Verdienerzahl und Stufen des Reineinkommens, 2013</t>
  </si>
  <si>
    <t>Verteilung der Pflichtigen (unter 65 Jahren) und des Reineinkommens nach Verdienerzahl und Stufen des Reinvermögens, 2013</t>
  </si>
  <si>
    <t>Verteilung der Altersrentnerinnen- und rentner, Einkommen und Vermögen nach Stufen des Reineinkommens, 2013</t>
  </si>
  <si>
    <t>Verteilung der Altersrentnerinnen- und rentner, Einkommen und Vermögen nach Stufen des Reinvermögens, 2013</t>
  </si>
  <si>
    <t>Zusammensetzung des Reineinkommens und des Reinvermögens der Altersrentnerinnen- und rentner nach Zivilstand und Altersklasse, 2013</t>
  </si>
  <si>
    <t>Verteilung der Altersrentnerinnen- und rentner, Steuerfaktoren und Steuern nach Stufen des steuerbaren Einkommens, 2013</t>
  </si>
  <si>
    <t>Verteilung der Altersrentnerinnen- und rentner, Steuerfaktoren und Steuern nach Stufen des steuerbaren Vermögens, 2013</t>
  </si>
  <si>
    <t>Verteilung der Pflichtigen, Steuerfaktoren und Steuern nach Stufen des steuerbaren Einkommens, 2013</t>
  </si>
  <si>
    <t>Verteilung der Pflichtigen und Einkommenssteuer nach Stufen des steuerbaren Einkommens, 2013</t>
  </si>
  <si>
    <t>Verteilung der Pflichtigen, Steuerfaktoren und Steuern nach Stufen des steuerbaren Vermögens, 2013</t>
  </si>
  <si>
    <t>Verteilung der Pflichtigen und Vermögenssteuer nach Stufen des steuerbaren Vermögens, 2013</t>
  </si>
  <si>
    <t>Verteilung der Pflichtigen nach Einkommens– und Vermögenssteuerstufen, 2013</t>
  </si>
  <si>
    <t>Verteilung der Pflichtigen, Einkommen, Vermögen und Steuern nach verschiedenen Merkmalen, 2013</t>
  </si>
  <si>
    <t>Verteilung der Pflichtigen, des steuerbaren Einkommens und der Einkommenssteuer nach Stufen des steuerbaren Einkommens und Tarifart, 2013</t>
  </si>
  <si>
    <t>Entwicklung der Vermögens- und Einkommenssteuer von Pflichtigen mit Wohnsitz im Kanton Aargau, 2001 – 2013</t>
  </si>
  <si>
    <t>Entwicklung der Pflichtigen, des Reineinkommens und Reinvermögens sowie der einfachen Kantonssteuer, 2001 – 2013 (indexiert)</t>
  </si>
  <si>
    <t>Bözberg</t>
  </si>
  <si>
    <t>Einkommen und Vermögen der Pflichtigen mit Wohnsitz im Kanton Aargau nach Gemeinden, 2013</t>
  </si>
  <si>
    <t>Steuerpflichtige mit Wohnsitz im Kanton Aargau nach Einkommens- und Vermögensstufen und Gemeinden, in Prozent, 2013</t>
  </si>
  <si>
    <t>Zeitliche Abgrenzungen: Die Steuerstatistik erfasst alle natürlichen Personen, die am 31. Dezember 2013 ihren Wohnsitz im Kanton Aargau hatten (primär Steuerpflichtige) und Steuerpflichtige, die am 31. Dezember 2013 im Kanton Aargau Liegenschaftsbesitz oder einen Geschäftbetrieb, jedoch keinen Wohnsitz hatten (sekundär Steuerpflichtige). Berücksichtigt werden aber nur die Steuerpflichtigen, die vom 1.1. bis zum 31.12.2013 im Kanton Aargau steuerpflichtig waren. Die Einkommenssteuer für die Steuerperiode 2013 richtet sich dabei nach den Einkommensverhältnissen des Jahres 2013 (einjährige Gegenwartsbemessung) und die Vermögenssteuer nach dem Vermögensstand am 31. Dezember 2013.</t>
  </si>
  <si>
    <t>Zusammensetzung des Reineinkommens und des Reinvermögens nach Verdienerzahl, 2013, in Franken pro Pflichtigen (unter 65 Jahren)</t>
  </si>
  <si>
    <t>Einfache Kantonssteuer der Pflichtigen mit Wohnsitz im Kanton Aargau nach Gemeinden, in Franken pro Steuerpflichtigen, 2013</t>
  </si>
  <si>
    <t>1. Für die Berechnung werden die Einkommens- und Vermögenssteuern jeweils auf 212,6% aufgerechnet (109%: Kantonssteuerfuss plus 103,6%: gewichteter durchschnittlicher Gemeindesteuerfuss; ohne Kirchensteuer und direkte Bundessteuer).</t>
  </si>
  <si>
    <r>
      <t>Aarau</t>
    </r>
    <r>
      <rPr>
        <vertAlign val="superscript"/>
        <sz val="10"/>
        <rFont val="Arial"/>
        <family val="2"/>
      </rPr>
      <t>2</t>
    </r>
  </si>
  <si>
    <t>…</t>
  </si>
  <si>
    <r>
      <t>Aarau</t>
    </r>
    <r>
      <rPr>
        <vertAlign val="superscript"/>
        <sz val="10"/>
        <rFont val="Arial"/>
        <family val="2"/>
      </rPr>
      <t>1</t>
    </r>
  </si>
  <si>
    <t>2. Die Stadt Aarau partizipiert ab 2014 an der VERANA-Lösung des Kantons Aargau (Informatik-Dienstleistung des Kantonalen Steueramtes: Veranlagungsunterstützung für natürliche Personen) und kann daher für diese Auswertung nicht berücksichtigt werden.</t>
  </si>
  <si>
    <t>1. Die Stadt Aarau partizipiert ab 2014 an der VERANA-Lösung des Kantons Aargau (Informatik-Dienstleistung des Kantonalen Steueramtes: Veranlagungsunterstützung für natürliche Personen) und kann daher für diese Auswertung nicht berücksichtigt werden.</t>
  </si>
  <si>
    <t>Diese Daten werden aufgrund von verschiedenen Merkmalen (Altersklasse, satzbestimmendes Einkommen und Vermögen) auf die Gesamtzahl der Steuerpflichtigen im Kanton Aargau hochgerechnet. Die Gesamtzahl der Steuerpflichtigen ergibt sich aus den Angaben der «Servicelösung Steuerbezug» und den entsprechenden Angaben der Stadt Aarau, welche ab 2014 bei dieser Servicelösung angeschlossen sein wird. Für das Jahr 2013 betrug der Hochrechnungsfaktor durchschnittlich 1,0407, d.h. die ausgewerteten (VERANA-) Daten umfassen 96,09 % der Steuerpflichtigen der Grundgesamtheit.</t>
  </si>
  <si>
    <r>
      <t>Rentner, EA: &lt;20%</t>
    </r>
    <r>
      <rPr>
        <vertAlign val="superscript"/>
        <sz val="10"/>
        <rFont val="Arial"/>
        <family val="2"/>
      </rPr>
      <t>2</t>
    </r>
  </si>
  <si>
    <r>
      <t>Rentner, EA: 20%–49%</t>
    </r>
    <r>
      <rPr>
        <vertAlign val="superscript"/>
        <sz val="10"/>
        <rFont val="Arial"/>
        <family val="2"/>
      </rPr>
      <t>3</t>
    </r>
  </si>
  <si>
    <r>
      <t>Übrige</t>
    </r>
    <r>
      <rPr>
        <vertAlign val="superscript"/>
        <sz val="10"/>
        <rFont val="Arial"/>
        <family val="2"/>
      </rPr>
      <t>4</t>
    </r>
  </si>
  <si>
    <r>
      <t>Alleinstehend</t>
    </r>
    <r>
      <rPr>
        <vertAlign val="superscript"/>
        <sz val="10"/>
        <rFont val="Arial"/>
        <family val="2"/>
      </rPr>
      <t>5</t>
    </r>
  </si>
  <si>
    <r>
      <t xml:space="preserve"> – Alleinstehend</t>
    </r>
    <r>
      <rPr>
        <vertAlign val="superscript"/>
        <sz val="10"/>
        <rFont val="Arial"/>
        <family val="2"/>
      </rPr>
      <t>5</t>
    </r>
  </si>
  <si>
    <t>ausmacht.</t>
  </si>
  <si>
    <t>Pensionseinkommens ausmacht.</t>
  </si>
  <si>
    <t>5. Ledige, Verwitwete, Geschiedene und getrennt Lebende. Die Unterteilung erfolgt aufgrund des gesetzlichen Zivilstandes.</t>
  </si>
  <si>
    <t>3. Steuerpflichtige Rentenempfänger, die unabhängig ihres Alters ein Renten- und Pensionseinkommen aufweisen, das über 50% aber unter 80% des gesamten Erwerbs–, Renten– und</t>
  </si>
  <si>
    <t>4. Steuerpflichtige ohne Erwerbs–, Renten– und Pensionseinkommen.</t>
  </si>
  <si>
    <t>2. Steuerpflichtige Rentenempfänger, die unabhängig ihres Alters ein Renten– und Pensionseinkommen aufweisen, das mindestens 80% des gesamten Erwerbs–, Renten– und Pensionseinkommens</t>
  </si>
  <si>
    <t>Einkommens- und Vermögensverhältnisse nach sozioökonomischen Merkmalen</t>
  </si>
  <si>
    <t>Einkommen, Vermögen und Steuern der Altersrentnerinnen- und rentner (65 Jahre und älter)</t>
  </si>
  <si>
    <t>Einkommens- und Vermögenssteuern im Kanton Aargau</t>
  </si>
  <si>
    <r>
      <t>Einkommenssteuer</t>
    </r>
    <r>
      <rPr>
        <vertAlign val="superscript"/>
        <sz val="10"/>
        <rFont val="Arial"/>
        <family val="2"/>
      </rPr>
      <t>2</t>
    </r>
    <r>
      <rPr>
        <sz val="10"/>
        <rFont val="Arial"/>
        <family val="2"/>
      </rPr>
      <t xml:space="preserve">
(100%) pro 
Pflichtigeni in Fr.</t>
    </r>
  </si>
  <si>
    <t>Hinweis: Aus Datenschutzgründen wird eine zu kleine Anzahl an Steuerpflichtigen in einer Klasse zur unteren Einkommens- bzw. Vermögensstufe dazugerechnet.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</si>
</sst>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3" formatCode="_ * #,##0.00_ ;_ * \-#,##0.00_ ;_ * &quot;-&quot;??_ ;_ @_ "/>
    <numFmt numFmtId="164" formatCode="0.0"/>
    <numFmt numFmtId="165" formatCode="General\:"/>
    <numFmt numFmtId="166" formatCode="_ * #,##0.0_ ;_ * \-#,##0.0_ ;_ * &quot;-&quot;??_ ;_ @_ "/>
    <numFmt numFmtId="167" formatCode="_ * #,##0_ ;_ * \-#,##0_ ;_ * &quot;-&quot;??_ ;_ @_ "/>
    <numFmt numFmtId="168" formatCode="0.0%"/>
    <numFmt numFmtId="169" formatCode="_(* #,##0_);_(* \(#,##0\);_(* &quot;-&quot;??_);_(@_)"/>
    <numFmt numFmtId="170" formatCode="0.00\‰"/>
    <numFmt numFmtId="171" formatCode="0_ ;\-0\ "/>
  </numFmts>
  <fonts count="24" x14ac:knownFonts="1">
    <font>
      <sz val="10"/>
      <name val="Arial"/>
    </font>
    <font>
      <sz val="11"/>
      <color theme="1"/>
      <name val="Calibri"/>
      <family val="2"/>
      <scheme val="minor"/>
    </font>
    <font>
      <b/>
      <sz val="10"/>
      <name val="Arial"/>
      <family val="2"/>
    </font>
    <font>
      <sz val="8"/>
      <name val="Arial"/>
      <family val="2"/>
    </font>
    <font>
      <sz val="10"/>
      <name val="Arial"/>
      <family val="2"/>
    </font>
    <font>
      <i/>
      <sz val="10"/>
      <name val="Arial"/>
      <family val="2"/>
    </font>
    <font>
      <sz val="9"/>
      <name val="Arial"/>
      <family val="2"/>
    </font>
    <font>
      <u/>
      <sz val="10"/>
      <color indexed="12"/>
      <name val="Arial"/>
      <family val="2"/>
    </font>
    <font>
      <b/>
      <sz val="16"/>
      <name val="Arial"/>
      <family val="2"/>
    </font>
    <font>
      <b/>
      <sz val="12"/>
      <name val="Arial"/>
      <family val="2"/>
    </font>
    <font>
      <sz val="10"/>
      <name val="Arial"/>
      <family val="2"/>
    </font>
    <font>
      <sz val="10"/>
      <color indexed="55"/>
      <name val="Arial"/>
      <family val="2"/>
    </font>
    <font>
      <sz val="11"/>
      <color theme="1"/>
      <name val="Arial"/>
      <family val="2"/>
    </font>
    <font>
      <sz val="10"/>
      <color theme="1"/>
      <name val="Arial"/>
      <family val="2"/>
    </font>
    <font>
      <u/>
      <sz val="10"/>
      <name val="Arial"/>
      <family val="2"/>
    </font>
    <font>
      <sz val="12"/>
      <name val="Arial"/>
      <family val="2"/>
    </font>
    <font>
      <u/>
      <sz val="9"/>
      <name val="Arial"/>
      <family val="2"/>
    </font>
    <font>
      <sz val="10"/>
      <name val="Arial"/>
      <family val="2"/>
    </font>
    <font>
      <sz val="9"/>
      <color theme="1"/>
      <name val="Arial"/>
      <family val="2"/>
    </font>
    <font>
      <vertAlign val="superscript"/>
      <sz val="10"/>
      <name val="Arial"/>
      <family val="2"/>
    </font>
    <font>
      <b/>
      <vertAlign val="superscript"/>
      <sz val="10"/>
      <name val="Arial"/>
      <family val="2"/>
    </font>
    <font>
      <sz val="9"/>
      <color theme="1"/>
      <name val="Calibri"/>
      <family val="2"/>
    </font>
    <font>
      <sz val="8"/>
      <color theme="1"/>
      <name val="Arial"/>
      <family val="2"/>
    </font>
    <font>
      <sz val="10"/>
      <color theme="0"/>
      <name val="Arial"/>
      <family val="2"/>
    </font>
  </fonts>
  <fills count="3">
    <fill>
      <patternFill patternType="none"/>
    </fill>
    <fill>
      <patternFill patternType="gray125"/>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1">
    <xf numFmtId="0" fontId="0" fillId="0" borderId="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12" fillId="0" borderId="0"/>
    <xf numFmtId="0" fontId="10" fillId="0" borderId="0"/>
    <xf numFmtId="43" fontId="17" fillId="0" borderId="0" applyFont="0" applyFill="0" applyBorder="0" applyAlignment="0" applyProtection="0"/>
    <xf numFmtId="9" fontId="17" fillId="0" borderId="0" applyFont="0" applyFill="0" applyBorder="0" applyAlignment="0" applyProtection="0"/>
    <xf numFmtId="0" fontId="4" fillId="0" borderId="0"/>
    <xf numFmtId="0" fontId="1" fillId="0" borderId="0"/>
    <xf numFmtId="43" fontId="1" fillId="0" borderId="0" applyFont="0" applyFill="0" applyBorder="0" applyAlignment="0" applyProtection="0"/>
    <xf numFmtId="0" fontId="4" fillId="0" borderId="0"/>
  </cellStyleXfs>
  <cellXfs count="324">
    <xf numFmtId="0" fontId="0" fillId="0" borderId="0" xfId="0"/>
    <xf numFmtId="0" fontId="0" fillId="0" borderId="0" xfId="0" applyAlignment="1">
      <alignment vertical="top"/>
    </xf>
    <xf numFmtId="0" fontId="4" fillId="0" borderId="0" xfId="0" applyFont="1" applyFill="1"/>
    <xf numFmtId="0" fontId="6" fillId="0" borderId="0" xfId="0" applyFont="1" applyFill="1" applyAlignment="1">
      <alignment horizontal="right"/>
    </xf>
    <xf numFmtId="0" fontId="6" fillId="0" borderId="0" xfId="0" applyFont="1" applyFill="1"/>
    <xf numFmtId="0" fontId="8" fillId="0" borderId="0" xfId="0" applyFont="1" applyFill="1" applyAlignment="1">
      <alignment horizontal="right"/>
    </xf>
    <xf numFmtId="0" fontId="0" fillId="0" borderId="0" xfId="0"/>
    <xf numFmtId="0" fontId="2" fillId="0" borderId="0" xfId="0" applyFont="1" applyAlignment="1">
      <alignment vertical="top"/>
    </xf>
    <xf numFmtId="0" fontId="11" fillId="0" borderId="0" xfId="0" applyFont="1" applyAlignment="1">
      <alignment vertical="top"/>
    </xf>
    <xf numFmtId="3" fontId="11" fillId="0" borderId="0" xfId="0" applyNumberFormat="1" applyFont="1" applyAlignment="1">
      <alignment vertical="top"/>
    </xf>
    <xf numFmtId="0" fontId="2" fillId="0" borderId="1" xfId="0" applyFont="1" applyBorder="1" applyAlignment="1">
      <alignment vertical="top"/>
    </xf>
    <xf numFmtId="0" fontId="15" fillId="0" borderId="0" xfId="0" applyFont="1" applyAlignment="1">
      <alignment vertical="top"/>
    </xf>
    <xf numFmtId="0" fontId="4" fillId="0" borderId="1" xfId="0" applyFont="1" applyBorder="1"/>
    <xf numFmtId="49" fontId="4" fillId="0" borderId="0" xfId="0" applyNumberFormat="1" applyFont="1" applyFill="1"/>
    <xf numFmtId="0" fontId="4" fillId="0" borderId="0" xfId="0" applyFont="1" applyAlignment="1">
      <alignment vertical="top" wrapText="1"/>
    </xf>
    <xf numFmtId="0" fontId="6" fillId="0" borderId="0" xfId="0" applyFont="1" applyFill="1" applyAlignment="1">
      <alignment vertical="top"/>
    </xf>
    <xf numFmtId="49" fontId="6" fillId="0" borderId="0" xfId="0" applyNumberFormat="1" applyFont="1" applyFill="1" applyAlignment="1">
      <alignment vertical="top"/>
    </xf>
    <xf numFmtId="0" fontId="4" fillId="0" borderId="0" xfId="0" applyFont="1" applyFill="1" applyAlignment="1">
      <alignment vertical="top"/>
    </xf>
    <xf numFmtId="49" fontId="4" fillId="0" borderId="0" xfId="0" applyNumberFormat="1" applyFont="1" applyFill="1" applyAlignment="1">
      <alignment vertical="top"/>
    </xf>
    <xf numFmtId="0" fontId="0" fillId="0" borderId="0" xfId="0" applyAlignment="1">
      <alignment vertical="top" wrapText="1"/>
    </xf>
    <xf numFmtId="0" fontId="2" fillId="2" borderId="0" xfId="0" applyFont="1" applyFill="1" applyAlignment="1">
      <alignment vertical="top" wrapText="1"/>
    </xf>
    <xf numFmtId="0" fontId="2" fillId="0" borderId="0" xfId="0" applyFont="1" applyAlignment="1">
      <alignment vertical="top" wrapText="1"/>
    </xf>
    <xf numFmtId="3" fontId="2" fillId="0" borderId="0" xfId="0" applyNumberFormat="1" applyFont="1" applyBorder="1" applyAlignment="1">
      <alignment vertical="top"/>
    </xf>
    <xf numFmtId="164" fontId="2" fillId="0" borderId="0" xfId="0" applyNumberFormat="1" applyFont="1" applyBorder="1" applyAlignment="1">
      <alignment vertical="top"/>
    </xf>
    <xf numFmtId="0" fontId="4" fillId="0" borderId="1" xfId="0" quotePrefix="1" applyFont="1" applyBorder="1" applyAlignment="1">
      <alignment horizontal="right"/>
    </xf>
    <xf numFmtId="0" fontId="4" fillId="0" borderId="1" xfId="0" applyFont="1" applyBorder="1" applyAlignment="1">
      <alignment horizontal="right"/>
    </xf>
    <xf numFmtId="0" fontId="4" fillId="0" borderId="1" xfId="0" applyFont="1" applyBorder="1" applyAlignment="1">
      <alignment horizontal="left"/>
    </xf>
    <xf numFmtId="167" fontId="0" fillId="0" borderId="1" xfId="5" applyNumberFormat="1" applyFont="1" applyBorder="1"/>
    <xf numFmtId="168" fontId="0" fillId="0" borderId="1" xfId="6" applyNumberFormat="1" applyFont="1" applyBorder="1" applyAlignment="1">
      <alignment vertical="top"/>
    </xf>
    <xf numFmtId="168" fontId="2" fillId="0" borderId="1" xfId="6" applyNumberFormat="1" applyFont="1" applyBorder="1" applyAlignment="1">
      <alignment vertical="top"/>
    </xf>
    <xf numFmtId="167" fontId="0" fillId="0" borderId="0" xfId="5" applyNumberFormat="1" applyFont="1"/>
    <xf numFmtId="167" fontId="2" fillId="0" borderId="1" xfId="5" applyNumberFormat="1" applyFont="1" applyBorder="1" applyAlignment="1">
      <alignment vertical="top"/>
    </xf>
    <xf numFmtId="0" fontId="0" fillId="0" borderId="1" xfId="0" applyBorder="1" applyAlignment="1">
      <alignment vertical="top"/>
    </xf>
    <xf numFmtId="167" fontId="0" fillId="0" borderId="1" xfId="5" applyNumberFormat="1" applyFont="1" applyBorder="1" applyAlignment="1">
      <alignment vertical="top"/>
    </xf>
    <xf numFmtId="166" fontId="0" fillId="0" borderId="1" xfId="5" applyNumberFormat="1" applyFont="1" applyBorder="1" applyAlignment="1">
      <alignment vertical="top"/>
    </xf>
    <xf numFmtId="167" fontId="4" fillId="0" borderId="1" xfId="5" applyNumberFormat="1" applyFont="1" applyBorder="1" applyAlignment="1">
      <alignment vertical="top"/>
    </xf>
    <xf numFmtId="0" fontId="0" fillId="0" borderId="0" xfId="0" applyAlignment="1">
      <alignment vertical="top"/>
    </xf>
    <xf numFmtId="0" fontId="4" fillId="0" borderId="0" xfId="0" quotePrefix="1" applyFont="1" applyAlignment="1">
      <alignment vertical="top" wrapText="1"/>
    </xf>
    <xf numFmtId="166" fontId="2" fillId="0" borderId="1" xfId="5" applyNumberFormat="1" applyFont="1" applyBorder="1" applyAlignment="1">
      <alignment vertical="top"/>
    </xf>
    <xf numFmtId="0" fontId="0" fillId="0" borderId="0" xfId="0" applyAlignment="1">
      <alignment vertical="top"/>
    </xf>
    <xf numFmtId="0" fontId="4" fillId="0" borderId="0" xfId="0" quotePrefix="1" applyFont="1" applyAlignment="1">
      <alignment horizontal="left" vertical="top" wrapText="1" indent="1"/>
    </xf>
    <xf numFmtId="0" fontId="4" fillId="0" borderId="0" xfId="0" applyFont="1" applyAlignment="1">
      <alignment horizontal="left" vertical="top" wrapText="1" indent="1"/>
    </xf>
    <xf numFmtId="0" fontId="0" fillId="0" borderId="0" xfId="0" applyAlignment="1">
      <alignment vertical="top"/>
    </xf>
    <xf numFmtId="164" fontId="4" fillId="0" borderId="0" xfId="0" applyNumberFormat="1" applyFont="1" applyBorder="1" applyAlignment="1">
      <alignment vertical="top"/>
    </xf>
    <xf numFmtId="3" fontId="4" fillId="0" borderId="0" xfId="0" applyNumberFormat="1" applyFont="1" applyBorder="1" applyAlignment="1">
      <alignment vertical="top"/>
    </xf>
    <xf numFmtId="0" fontId="4" fillId="0" borderId="0" xfId="0" applyFont="1" applyAlignment="1">
      <alignment vertical="top"/>
    </xf>
    <xf numFmtId="0" fontId="4" fillId="2" borderId="1" xfId="0" applyFont="1" applyFill="1" applyBorder="1" applyAlignment="1">
      <alignment horizontal="right" vertical="top" wrapText="1"/>
    </xf>
    <xf numFmtId="0" fontId="4" fillId="2" borderId="1" xfId="0" applyFont="1" applyFill="1" applyBorder="1" applyAlignment="1">
      <alignment horizontal="right" vertical="top"/>
    </xf>
    <xf numFmtId="2" fontId="0" fillId="0" borderId="0" xfId="0" applyNumberFormat="1" applyAlignment="1">
      <alignment vertical="top"/>
    </xf>
    <xf numFmtId="0" fontId="4" fillId="0" borderId="0" xfId="0" applyFont="1" applyFill="1" applyAlignment="1">
      <alignment horizontal="left"/>
    </xf>
    <xf numFmtId="165" fontId="0" fillId="0" borderId="0" xfId="0" applyNumberFormat="1" applyFont="1" applyFill="1" applyAlignment="1">
      <alignment horizontal="right"/>
    </xf>
    <xf numFmtId="0" fontId="4" fillId="0" borderId="0" xfId="0" applyFont="1" applyFill="1" applyAlignment="1">
      <alignment horizontal="right"/>
    </xf>
    <xf numFmtId="0" fontId="0" fillId="0" borderId="0" xfId="0" applyFill="1" applyBorder="1" applyAlignment="1">
      <alignment vertical="top"/>
    </xf>
    <xf numFmtId="0" fontId="14" fillId="0" borderId="0" xfId="1" applyFont="1" applyFill="1" applyBorder="1" applyAlignment="1" applyProtection="1"/>
    <xf numFmtId="49" fontId="4" fillId="0" borderId="0" xfId="0" applyNumberFormat="1" applyFont="1" applyFill="1" applyAlignment="1">
      <alignment horizontal="left"/>
    </xf>
    <xf numFmtId="0" fontId="9" fillId="0" borderId="0" xfId="0" applyFont="1" applyFill="1" applyAlignment="1">
      <alignment horizontal="left"/>
    </xf>
    <xf numFmtId="49" fontId="9" fillId="0" borderId="0" xfId="0" applyNumberFormat="1" applyFont="1" applyFill="1" applyAlignment="1">
      <alignment horizontal="left"/>
    </xf>
    <xf numFmtId="0" fontId="5" fillId="0" borderId="0" xfId="0" applyFont="1" applyFill="1" applyAlignment="1">
      <alignment horizontal="left" vertical="top"/>
    </xf>
    <xf numFmtId="0" fontId="14" fillId="0" borderId="0" xfId="1" applyFont="1" applyFill="1" applyAlignment="1" applyProtection="1">
      <alignment wrapText="1"/>
    </xf>
    <xf numFmtId="0" fontId="14" fillId="0" borderId="0" xfId="1" applyFont="1" applyFill="1" applyAlignment="1" applyProtection="1"/>
    <xf numFmtId="165" fontId="4" fillId="0" borderId="0" xfId="0" applyNumberFormat="1" applyFont="1" applyFill="1" applyAlignment="1">
      <alignment horizontal="right"/>
    </xf>
    <xf numFmtId="0" fontId="2" fillId="0" borderId="1" xfId="0" applyFont="1" applyBorder="1" applyAlignment="1">
      <alignment horizontal="left" vertical="top"/>
    </xf>
    <xf numFmtId="0" fontId="0" fillId="0" borderId="0" xfId="0" applyFill="1" applyAlignment="1">
      <alignment vertical="top"/>
    </xf>
    <xf numFmtId="0" fontId="14" fillId="0" borderId="0" xfId="1" applyFont="1" applyFill="1" applyBorder="1" applyAlignment="1" applyProtection="1"/>
    <xf numFmtId="0" fontId="9" fillId="0" borderId="0" xfId="0" applyFont="1" applyAlignment="1">
      <alignment horizontal="left"/>
    </xf>
    <xf numFmtId="0" fontId="9" fillId="0" borderId="0" xfId="0" applyFont="1" applyAlignment="1">
      <alignment horizontal="left" vertical="top"/>
    </xf>
    <xf numFmtId="0" fontId="0" fillId="0" borderId="0" xfId="0" applyAlignment="1">
      <alignment vertical="top"/>
    </xf>
    <xf numFmtId="0" fontId="13" fillId="0" borderId="0" xfId="0" applyFont="1" applyFill="1" applyBorder="1" applyAlignment="1">
      <alignment horizontal="right" vertical="top"/>
    </xf>
    <xf numFmtId="0" fontId="13" fillId="0" borderId="0" xfId="0" applyFont="1" applyFill="1" applyBorder="1" applyAlignment="1">
      <alignment vertical="top"/>
    </xf>
    <xf numFmtId="0" fontId="0" fillId="0" borderId="0" xfId="0" applyBorder="1" applyAlignment="1">
      <alignment vertical="top"/>
    </xf>
    <xf numFmtId="164" fontId="13" fillId="0" borderId="0" xfId="6" applyNumberFormat="1" applyFont="1" applyFill="1" applyBorder="1" applyAlignment="1">
      <alignment vertical="top"/>
    </xf>
    <xf numFmtId="0" fontId="14" fillId="0" borderId="0" xfId="1" applyFont="1" applyFill="1" applyBorder="1" applyAlignment="1" applyProtection="1"/>
    <xf numFmtId="0" fontId="14" fillId="0" borderId="0" xfId="1" applyFont="1" applyFill="1" applyAlignment="1" applyProtection="1"/>
    <xf numFmtId="0" fontId="14" fillId="0" borderId="0" xfId="1" applyFont="1" applyFill="1" applyBorder="1" applyAlignment="1" applyProtection="1">
      <alignment wrapText="1"/>
    </xf>
    <xf numFmtId="0" fontId="9" fillId="0" borderId="0" xfId="0" applyFont="1" applyAlignment="1">
      <alignment horizontal="left" vertical="top"/>
    </xf>
    <xf numFmtId="0" fontId="4" fillId="2" borderId="2" xfId="0" applyFont="1" applyFill="1" applyBorder="1" applyAlignment="1">
      <alignment horizontal="right" vertical="top"/>
    </xf>
    <xf numFmtId="0" fontId="0" fillId="0" borderId="0" xfId="0" applyAlignment="1">
      <alignment vertical="top"/>
    </xf>
    <xf numFmtId="0" fontId="14" fillId="0" borderId="0" xfId="1" applyFont="1" applyFill="1" applyBorder="1" applyAlignment="1" applyProtection="1"/>
    <xf numFmtId="0" fontId="9" fillId="0" borderId="0" xfId="0" applyFont="1" applyAlignment="1">
      <alignment horizontal="left" vertical="top"/>
    </xf>
    <xf numFmtId="0" fontId="4" fillId="2" borderId="10" xfId="0" applyFont="1" applyFill="1" applyBorder="1" applyAlignment="1">
      <alignment horizontal="center" vertical="top"/>
    </xf>
    <xf numFmtId="0" fontId="0" fillId="0" borderId="0" xfId="0" applyAlignment="1">
      <alignment horizontal="left" vertical="top"/>
    </xf>
    <xf numFmtId="0" fontId="0" fillId="0" borderId="0" xfId="0" applyAlignment="1">
      <alignment vertical="top"/>
    </xf>
    <xf numFmtId="0" fontId="4" fillId="2" borderId="1" xfId="0" applyFont="1" applyFill="1" applyBorder="1" applyAlignment="1">
      <alignment horizontal="center" vertical="top" wrapText="1"/>
    </xf>
    <xf numFmtId="0" fontId="4" fillId="2" borderId="1" xfId="0" applyFont="1" applyFill="1" applyBorder="1" applyAlignment="1">
      <alignment vertical="top" wrapText="1"/>
    </xf>
    <xf numFmtId="0" fontId="4" fillId="2" borderId="1" xfId="0" applyFont="1" applyFill="1" applyBorder="1" applyAlignment="1">
      <alignment vertical="top"/>
    </xf>
    <xf numFmtId="0" fontId="4" fillId="2" borderId="1" xfId="0" applyFont="1" applyFill="1" applyBorder="1" applyAlignment="1">
      <alignment horizontal="left" vertical="top" wrapText="1"/>
    </xf>
    <xf numFmtId="169" fontId="0" fillId="0" borderId="1" xfId="5" applyNumberFormat="1" applyFont="1" applyBorder="1"/>
    <xf numFmtId="166" fontId="4" fillId="0" borderId="1" xfId="5" applyNumberFormat="1" applyFont="1" applyBorder="1" applyAlignment="1">
      <alignment vertical="top"/>
    </xf>
    <xf numFmtId="0" fontId="18" fillId="0" borderId="0" xfId="3" applyFont="1" applyAlignment="1">
      <alignment vertical="top"/>
    </xf>
    <xf numFmtId="0" fontId="6" fillId="0" borderId="0" xfId="0" applyFont="1" applyAlignment="1">
      <alignment vertical="top"/>
    </xf>
    <xf numFmtId="10" fontId="0" fillId="0" borderId="1" xfId="6" applyNumberFormat="1" applyFont="1" applyBorder="1" applyAlignment="1">
      <alignment vertical="top"/>
    </xf>
    <xf numFmtId="0" fontId="9" fillId="0" borderId="0" xfId="0" applyFont="1" applyAlignment="1">
      <alignment horizontal="left" vertical="top"/>
    </xf>
    <xf numFmtId="0" fontId="0" fillId="0" borderId="0" xfId="0" applyAlignment="1">
      <alignment vertical="top"/>
    </xf>
    <xf numFmtId="0" fontId="4" fillId="2" borderId="1" xfId="0" applyFont="1" applyFill="1" applyBorder="1" applyAlignment="1">
      <alignment horizontal="center" vertical="top" wrapText="1"/>
    </xf>
    <xf numFmtId="170" fontId="0" fillId="0" borderId="1" xfId="5" applyNumberFormat="1" applyFont="1" applyBorder="1" applyAlignment="1">
      <alignment vertical="top"/>
    </xf>
    <xf numFmtId="0" fontId="4" fillId="2" borderId="10" xfId="3" applyFont="1" applyFill="1" applyBorder="1" applyAlignment="1">
      <alignment horizontal="center" vertical="top"/>
    </xf>
    <xf numFmtId="169" fontId="2" fillId="0" borderId="1" xfId="0" applyNumberFormat="1" applyFont="1" applyBorder="1" applyAlignment="1">
      <alignment vertical="top"/>
    </xf>
    <xf numFmtId="0" fontId="4" fillId="2" borderId="1" xfId="0" quotePrefix="1" applyFont="1" applyFill="1" applyBorder="1" applyAlignment="1">
      <alignment horizontal="right" vertical="top" wrapText="1"/>
    </xf>
    <xf numFmtId="0" fontId="9" fillId="0" borderId="0" xfId="0" applyFont="1" applyAlignment="1">
      <alignment vertical="top"/>
    </xf>
    <xf numFmtId="0" fontId="4" fillId="2" borderId="4" xfId="0" quotePrefix="1" applyFont="1" applyFill="1" applyBorder="1" applyAlignment="1">
      <alignment horizontal="right" vertical="top"/>
    </xf>
    <xf numFmtId="0" fontId="4" fillId="0" borderId="1" xfId="0" quotePrefix="1" applyFont="1" applyBorder="1"/>
    <xf numFmtId="0" fontId="4" fillId="0" borderId="1" xfId="0" quotePrefix="1" applyFont="1" applyBorder="1" applyAlignment="1">
      <alignment horizontal="left"/>
    </xf>
    <xf numFmtId="49" fontId="4" fillId="2" borderId="4" xfId="0" quotePrefix="1" applyNumberFormat="1" applyFont="1" applyFill="1" applyBorder="1" applyAlignment="1">
      <alignment horizontal="right" vertical="top" wrapText="1"/>
    </xf>
    <xf numFmtId="0" fontId="2" fillId="2" borderId="4" xfId="0" quotePrefix="1" applyFont="1" applyFill="1" applyBorder="1" applyAlignment="1">
      <alignment horizontal="right" vertical="top"/>
    </xf>
    <xf numFmtId="166" fontId="2" fillId="0" borderId="1" xfId="0" applyNumberFormat="1" applyFont="1" applyBorder="1" applyAlignment="1">
      <alignment vertical="top"/>
    </xf>
    <xf numFmtId="0" fontId="4" fillId="0" borderId="1" xfId="0" applyFont="1" applyBorder="1" applyAlignment="1">
      <alignment horizontal="right" vertical="top"/>
    </xf>
    <xf numFmtId="0" fontId="4" fillId="0" borderId="0" xfId="0" applyFont="1" applyFill="1" applyBorder="1" applyAlignment="1"/>
    <xf numFmtId="0" fontId="4" fillId="0" borderId="0" xfId="0" applyFont="1" applyAlignment="1">
      <alignment vertical="top"/>
    </xf>
    <xf numFmtId="0" fontId="4" fillId="0" borderId="1" xfId="0" applyFont="1" applyBorder="1" applyAlignment="1">
      <alignment horizontal="left" vertical="top"/>
    </xf>
    <xf numFmtId="0" fontId="4" fillId="0" borderId="1" xfId="0" applyFont="1" applyBorder="1" applyAlignment="1">
      <alignment vertical="top"/>
    </xf>
    <xf numFmtId="167" fontId="4" fillId="2" borderId="1" xfId="5" applyNumberFormat="1" applyFont="1" applyFill="1" applyBorder="1" applyAlignment="1">
      <alignment horizontal="right" vertical="top"/>
    </xf>
    <xf numFmtId="0" fontId="4" fillId="2" borderId="1" xfId="0" quotePrefix="1" applyFont="1" applyFill="1" applyBorder="1" applyAlignment="1">
      <alignment horizontal="right" vertical="top"/>
    </xf>
    <xf numFmtId="0" fontId="4" fillId="2" borderId="1" xfId="0" applyFont="1" applyFill="1" applyBorder="1" applyAlignment="1">
      <alignment horizontal="right" vertical="top"/>
    </xf>
    <xf numFmtId="0" fontId="4" fillId="2" borderId="1" xfId="0" quotePrefix="1" applyFont="1" applyFill="1" applyBorder="1" applyAlignment="1">
      <alignment horizontal="center" vertical="top"/>
    </xf>
    <xf numFmtId="167" fontId="0" fillId="0" borderId="1" xfId="0" applyNumberFormat="1" applyBorder="1" applyAlignment="1">
      <alignment vertical="top"/>
    </xf>
    <xf numFmtId="0" fontId="0" fillId="2" borderId="4" xfId="0" applyFill="1" applyBorder="1" applyAlignment="1">
      <alignment vertical="top"/>
    </xf>
    <xf numFmtId="0" fontId="4" fillId="0" borderId="1" xfId="0" quotePrefix="1" applyFont="1" applyBorder="1" applyAlignment="1">
      <alignment horizontal="right" vertical="top"/>
    </xf>
    <xf numFmtId="0" fontId="0" fillId="0" borderId="1" xfId="0" applyBorder="1" applyAlignment="1">
      <alignment horizontal="right" vertical="top"/>
    </xf>
    <xf numFmtId="3" fontId="4" fillId="0" borderId="1" xfId="0" quotePrefix="1" applyNumberFormat="1" applyFont="1" applyBorder="1" applyAlignment="1">
      <alignment horizontal="left" vertical="top"/>
    </xf>
    <xf numFmtId="43" fontId="0" fillId="0" borderId="1" xfId="5" applyFont="1" applyBorder="1" applyAlignment="1">
      <alignment vertical="top"/>
    </xf>
    <xf numFmtId="0" fontId="2" fillId="0" borderId="1" xfId="0" quotePrefix="1" applyFont="1" applyBorder="1" applyAlignment="1">
      <alignment horizontal="left"/>
    </xf>
    <xf numFmtId="10" fontId="2" fillId="0" borderId="1" xfId="6" applyNumberFormat="1" applyFont="1" applyBorder="1" applyAlignment="1">
      <alignment vertical="top"/>
    </xf>
    <xf numFmtId="43" fontId="0" fillId="0" borderId="1" xfId="5" applyFont="1" applyBorder="1"/>
    <xf numFmtId="168" fontId="0" fillId="0" borderId="1" xfId="6" applyNumberFormat="1" applyFont="1" applyBorder="1"/>
    <xf numFmtId="10" fontId="0" fillId="0" borderId="1" xfId="6" applyNumberFormat="1" applyFont="1" applyBorder="1"/>
    <xf numFmtId="0" fontId="2" fillId="0" borderId="0" xfId="0" applyFont="1"/>
    <xf numFmtId="167" fontId="0" fillId="0" borderId="0" xfId="5" applyNumberFormat="1" applyFont="1" applyAlignment="1">
      <alignment vertical="top"/>
    </xf>
    <xf numFmtId="167" fontId="2" fillId="0" borderId="0" xfId="5" applyNumberFormat="1" applyFont="1" applyAlignment="1">
      <alignment vertical="top"/>
    </xf>
    <xf numFmtId="49" fontId="4" fillId="0" borderId="0" xfId="0" applyNumberFormat="1" applyFont="1" applyFill="1" applyAlignment="1">
      <alignment horizontal="right"/>
    </xf>
    <xf numFmtId="0" fontId="4" fillId="0" borderId="0" xfId="0" applyFont="1" applyFill="1" applyAlignment="1">
      <alignment vertical="top" wrapText="1"/>
    </xf>
    <xf numFmtId="0" fontId="0" fillId="0" borderId="0" xfId="0" applyAlignment="1">
      <alignment vertical="top"/>
    </xf>
    <xf numFmtId="170" fontId="0" fillId="0" borderId="1" xfId="6" applyNumberFormat="1" applyFont="1" applyBorder="1" applyAlignment="1">
      <alignment vertical="top"/>
    </xf>
    <xf numFmtId="167" fontId="0" fillId="2" borderId="4" xfId="5" applyNumberFormat="1" applyFont="1" applyFill="1" applyBorder="1" applyAlignment="1">
      <alignment vertical="top"/>
    </xf>
    <xf numFmtId="0" fontId="14" fillId="0" borderId="0" xfId="1" applyFont="1" applyFill="1" applyBorder="1" applyAlignment="1" applyProtection="1"/>
    <xf numFmtId="0" fontId="4" fillId="0" borderId="0" xfId="0" applyFont="1" applyAlignment="1">
      <alignment vertical="top"/>
    </xf>
    <xf numFmtId="167" fontId="2" fillId="0" borderId="1" xfId="0" applyNumberFormat="1" applyFont="1" applyBorder="1" applyAlignment="1">
      <alignment vertical="top"/>
    </xf>
    <xf numFmtId="168" fontId="2" fillId="0" borderId="1" xfId="0" applyNumberFormat="1" applyFont="1" applyBorder="1" applyAlignment="1">
      <alignment vertical="top"/>
    </xf>
    <xf numFmtId="167" fontId="0" fillId="0" borderId="1" xfId="5" applyNumberFormat="1" applyFont="1" applyFill="1" applyBorder="1" applyAlignment="1">
      <alignment vertical="top"/>
    </xf>
    <xf numFmtId="0" fontId="4" fillId="0" borderId="0" xfId="0" applyFont="1"/>
    <xf numFmtId="167" fontId="4" fillId="0" borderId="0" xfId="5" applyNumberFormat="1" applyFont="1" applyAlignment="1">
      <alignment vertical="top"/>
    </xf>
    <xf numFmtId="0" fontId="2" fillId="2" borderId="1" xfId="0" applyFont="1" applyFill="1" applyBorder="1"/>
    <xf numFmtId="167" fontId="4" fillId="0" borderId="1" xfId="5" applyNumberFormat="1" applyFont="1" applyBorder="1"/>
    <xf numFmtId="0" fontId="14" fillId="0" borderId="0" xfId="1" applyFont="1" applyFill="1" applyBorder="1" applyAlignment="1" applyProtection="1"/>
    <xf numFmtId="0" fontId="9" fillId="0" borderId="0" xfId="0" applyFont="1" applyAlignment="1">
      <alignment horizontal="left" vertical="top"/>
    </xf>
    <xf numFmtId="0" fontId="0" fillId="0" borderId="0" xfId="0" applyAlignment="1">
      <alignment vertical="top"/>
    </xf>
    <xf numFmtId="0" fontId="4" fillId="0" borderId="0" xfId="0" applyFont="1" applyAlignment="1">
      <alignment vertical="top"/>
    </xf>
    <xf numFmtId="0" fontId="4" fillId="2" borderId="1" xfId="0" applyFont="1" applyFill="1" applyBorder="1" applyAlignment="1">
      <alignment horizontal="right" vertical="top"/>
    </xf>
    <xf numFmtId="0" fontId="4" fillId="0" borderId="0" xfId="0" applyFont="1" applyAlignment="1">
      <alignment horizontal="right"/>
    </xf>
    <xf numFmtId="1" fontId="4" fillId="0" borderId="0" xfId="5" applyNumberFormat="1" applyFont="1" applyAlignment="1">
      <alignment horizontal="right"/>
    </xf>
    <xf numFmtId="0" fontId="0" fillId="0" borderId="0" xfId="0" applyAlignment="1">
      <alignment vertical="top"/>
    </xf>
    <xf numFmtId="0" fontId="4" fillId="0" borderId="0" xfId="0" applyFont="1" applyAlignment="1">
      <alignment vertical="top"/>
    </xf>
    <xf numFmtId="0" fontId="0" fillId="0" borderId="1" xfId="0" applyBorder="1" applyAlignment="1">
      <alignment vertical="top"/>
    </xf>
    <xf numFmtId="0" fontId="22" fillId="0" borderId="0" xfId="0" applyFont="1"/>
    <xf numFmtId="169" fontId="22" fillId="0" borderId="0" xfId="5" applyNumberFormat="1" applyFont="1"/>
    <xf numFmtId="0" fontId="3" fillId="0" borderId="0" xfId="0" applyFont="1" applyAlignment="1">
      <alignment vertical="top"/>
    </xf>
    <xf numFmtId="167" fontId="3" fillId="0" borderId="0" xfId="5" applyNumberFormat="1" applyFont="1" applyAlignment="1">
      <alignment vertical="top"/>
    </xf>
    <xf numFmtId="0" fontId="3" fillId="0" borderId="0" xfId="0" quotePrefix="1" applyFont="1" applyAlignment="1">
      <alignment vertical="top"/>
    </xf>
    <xf numFmtId="168" fontId="3" fillId="0" borderId="0" xfId="6" applyNumberFormat="1" applyFont="1" applyAlignment="1">
      <alignment vertical="top"/>
    </xf>
    <xf numFmtId="169" fontId="3" fillId="0" borderId="0" xfId="5" applyNumberFormat="1" applyFont="1" applyBorder="1"/>
    <xf numFmtId="171" fontId="4" fillId="0" borderId="1" xfId="5" applyNumberFormat="1" applyFont="1" applyBorder="1"/>
    <xf numFmtId="0" fontId="4" fillId="2" borderId="1" xfId="0" applyFont="1" applyFill="1" applyBorder="1" applyAlignment="1">
      <alignment horizontal="right" vertical="top"/>
    </xf>
    <xf numFmtId="0" fontId="14" fillId="0" borderId="0" xfId="1" applyFont="1" applyFill="1" applyBorder="1" applyAlignment="1" applyProtection="1"/>
    <xf numFmtId="0" fontId="14" fillId="0" borderId="0" xfId="1" applyFont="1" applyFill="1" applyBorder="1" applyAlignment="1" applyProtection="1">
      <alignment wrapText="1"/>
    </xf>
    <xf numFmtId="0" fontId="9" fillId="0" borderId="0" xfId="0" applyFont="1" applyAlignment="1">
      <alignment horizontal="left" vertical="top"/>
    </xf>
    <xf numFmtId="0" fontId="0" fillId="0" borderId="0" xfId="0" applyAlignment="1">
      <alignment vertical="top"/>
    </xf>
    <xf numFmtId="0" fontId="4" fillId="0" borderId="0" xfId="0" applyFont="1" applyAlignment="1">
      <alignment vertical="top"/>
    </xf>
    <xf numFmtId="0" fontId="4" fillId="2" borderId="1" xfId="0" applyFont="1" applyFill="1" applyBorder="1" applyAlignment="1">
      <alignment horizontal="right" vertical="top"/>
    </xf>
    <xf numFmtId="166" fontId="2" fillId="0" borderId="0" xfId="5" applyNumberFormat="1" applyFont="1"/>
    <xf numFmtId="166" fontId="4" fillId="0" borderId="0" xfId="5" applyNumberFormat="1" applyFont="1"/>
    <xf numFmtId="167" fontId="2" fillId="0" borderId="0" xfId="5" applyNumberFormat="1" applyFont="1"/>
    <xf numFmtId="167" fontId="4" fillId="0" borderId="0" xfId="5" applyNumberFormat="1" applyFont="1"/>
    <xf numFmtId="0" fontId="3" fillId="0" borderId="0" xfId="0" applyFont="1" applyBorder="1" applyAlignment="1">
      <alignment vertical="top"/>
    </xf>
    <xf numFmtId="164" fontId="3" fillId="2" borderId="0" xfId="0" applyNumberFormat="1" applyFont="1" applyFill="1" applyBorder="1" applyAlignment="1">
      <alignment horizontal="center" vertical="top"/>
    </xf>
    <xf numFmtId="0" fontId="3" fillId="2" borderId="0" xfId="0" applyFont="1" applyFill="1" applyBorder="1" applyAlignment="1">
      <alignment horizontal="center" vertical="top"/>
    </xf>
    <xf numFmtId="0" fontId="3" fillId="2" borderId="0" xfId="0" applyFont="1" applyFill="1" applyBorder="1" applyAlignment="1">
      <alignment horizontal="center" vertical="top" wrapText="1"/>
    </xf>
    <xf numFmtId="0" fontId="0" fillId="0" borderId="0" xfId="0" applyAlignment="1">
      <alignment vertical="top"/>
    </xf>
    <xf numFmtId="0" fontId="0" fillId="0" borderId="1" xfId="0" applyBorder="1" applyAlignment="1">
      <alignment vertical="top"/>
    </xf>
    <xf numFmtId="167" fontId="4" fillId="0" borderId="0" xfId="5" applyNumberFormat="1" applyFont="1" applyBorder="1" applyAlignment="1">
      <alignment vertical="top"/>
    </xf>
    <xf numFmtId="167" fontId="0" fillId="0" borderId="11" xfId="5" applyNumberFormat="1" applyFont="1" applyBorder="1"/>
    <xf numFmtId="0" fontId="0" fillId="0" borderId="0" xfId="0" applyAlignment="1">
      <alignment vertical="top"/>
    </xf>
    <xf numFmtId="0" fontId="0" fillId="0" borderId="1" xfId="0" applyBorder="1" applyAlignment="1">
      <alignment vertical="top"/>
    </xf>
    <xf numFmtId="167" fontId="0" fillId="0" borderId="0" xfId="0" applyNumberFormat="1" applyAlignment="1">
      <alignment vertical="top"/>
    </xf>
    <xf numFmtId="167" fontId="4" fillId="0" borderId="0" xfId="0" applyNumberFormat="1" applyFont="1" applyAlignment="1">
      <alignment vertical="top"/>
    </xf>
    <xf numFmtId="0" fontId="4" fillId="0" borderId="0" xfId="7"/>
    <xf numFmtId="10" fontId="0" fillId="0" borderId="1" xfId="5" applyNumberFormat="1" applyFont="1" applyBorder="1" applyAlignment="1">
      <alignment vertical="top"/>
    </xf>
    <xf numFmtId="0" fontId="0" fillId="0" borderId="0" xfId="0"/>
    <xf numFmtId="167" fontId="4" fillId="0" borderId="2" xfId="5" applyNumberFormat="1" applyFont="1" applyBorder="1"/>
    <xf numFmtId="167" fontId="4" fillId="0" borderId="11" xfId="5" applyNumberFormat="1" applyFont="1" applyBorder="1"/>
    <xf numFmtId="0" fontId="2" fillId="0" borderId="0" xfId="10" applyFont="1"/>
    <xf numFmtId="0" fontId="4" fillId="0" borderId="0" xfId="10"/>
    <xf numFmtId="0" fontId="23" fillId="0" borderId="0" xfId="0" applyFont="1" applyAlignment="1">
      <alignment vertical="top" wrapText="1"/>
    </xf>
    <xf numFmtId="0" fontId="4" fillId="2" borderId="1" xfId="0" applyFont="1" applyFill="1" applyBorder="1" applyAlignment="1">
      <alignment horizontal="center" vertical="top"/>
    </xf>
    <xf numFmtId="166" fontId="3" fillId="0" borderId="0" xfId="0" applyNumberFormat="1" applyFont="1" applyAlignment="1">
      <alignment vertical="top"/>
    </xf>
    <xf numFmtId="167" fontId="22" fillId="0" borderId="0" xfId="9" applyNumberFormat="1" applyFont="1"/>
    <xf numFmtId="0" fontId="4" fillId="2" borderId="1" xfId="0" applyFont="1" applyFill="1" applyBorder="1" applyAlignment="1">
      <alignment horizontal="center"/>
    </xf>
    <xf numFmtId="0" fontId="0" fillId="0" borderId="0" xfId="0" applyAlignment="1">
      <alignment vertical="top"/>
    </xf>
    <xf numFmtId="0" fontId="4" fillId="2" borderId="1" xfId="0" applyFont="1" applyFill="1" applyBorder="1" applyAlignment="1">
      <alignment horizontal="right" vertical="top"/>
    </xf>
    <xf numFmtId="0" fontId="4" fillId="0" borderId="0" xfId="0" applyFont="1" applyAlignment="1">
      <alignment vertical="top" wrapText="1"/>
    </xf>
    <xf numFmtId="168" fontId="4" fillId="0" borderId="0" xfId="6" applyNumberFormat="1" applyFont="1"/>
    <xf numFmtId="0" fontId="0" fillId="0" borderId="0" xfId="0" applyAlignment="1">
      <alignment vertical="top"/>
    </xf>
    <xf numFmtId="0" fontId="0" fillId="0" borderId="0" xfId="0" applyAlignment="1">
      <alignment vertical="top"/>
    </xf>
    <xf numFmtId="0" fontId="18" fillId="0" borderId="0" xfId="3" applyFont="1" applyAlignment="1">
      <alignment vertical="top"/>
    </xf>
    <xf numFmtId="0" fontId="4" fillId="2" borderId="1" xfId="0" applyFont="1" applyFill="1" applyBorder="1" applyAlignment="1">
      <alignment horizontal="right" vertical="top"/>
    </xf>
    <xf numFmtId="0" fontId="4"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1" xfId="0" applyFont="1" applyFill="1" applyBorder="1" applyAlignment="1">
      <alignment horizontal="left" vertical="top" wrapText="1" indent="1"/>
    </xf>
    <xf numFmtId="164" fontId="4" fillId="2" borderId="1" xfId="0" applyNumberFormat="1" applyFont="1" applyFill="1" applyBorder="1" applyAlignment="1">
      <alignment horizontal="right" vertical="top"/>
    </xf>
    <xf numFmtId="0" fontId="4" fillId="2" borderId="10" xfId="0" applyFont="1" applyFill="1" applyBorder="1" applyAlignment="1">
      <alignment horizontal="right" vertical="top" wrapText="1"/>
    </xf>
    <xf numFmtId="0" fontId="4" fillId="2" borderId="8" xfId="0" applyFont="1" applyFill="1" applyBorder="1" applyAlignment="1">
      <alignment horizontal="right" vertical="top" wrapText="1"/>
    </xf>
    <xf numFmtId="0" fontId="4" fillId="2" borderId="1" xfId="0" applyFont="1" applyFill="1" applyBorder="1" applyAlignment="1">
      <alignment horizontal="left" wrapText="1"/>
    </xf>
    <xf numFmtId="0" fontId="0" fillId="2" borderId="1" xfId="0" quotePrefix="1" applyFill="1" applyBorder="1" applyAlignment="1">
      <alignment horizontal="right" vertical="top"/>
    </xf>
    <xf numFmtId="167" fontId="0" fillId="0" borderId="1" xfId="5" applyNumberFormat="1" applyFont="1" applyBorder="1" applyAlignment="1">
      <alignment horizontal="right" vertical="top"/>
    </xf>
    <xf numFmtId="167" fontId="2" fillId="0" borderId="1" xfId="5" applyNumberFormat="1" applyFont="1" applyBorder="1" applyAlignment="1">
      <alignment horizontal="right" vertical="top"/>
    </xf>
    <xf numFmtId="0" fontId="9" fillId="0" borderId="0" xfId="0" applyFont="1" applyAlignment="1">
      <alignment horizontal="left" vertical="top"/>
    </xf>
    <xf numFmtId="0" fontId="0" fillId="0" borderId="0" xfId="0" applyAlignment="1">
      <alignment horizontal="left" vertical="top"/>
    </xf>
    <xf numFmtId="0" fontId="9" fillId="0" borderId="0" xfId="0" applyFont="1" applyAlignment="1">
      <alignment vertical="top"/>
    </xf>
    <xf numFmtId="0" fontId="0" fillId="0" borderId="0" xfId="0" applyAlignment="1">
      <alignment vertical="top"/>
    </xf>
    <xf numFmtId="0" fontId="0" fillId="0" borderId="0" xfId="0" applyAlignment="1">
      <alignment vertical="top"/>
    </xf>
    <xf numFmtId="0" fontId="0" fillId="0" borderId="1" xfId="0" applyBorder="1" applyAlignment="1">
      <alignment vertical="top"/>
    </xf>
    <xf numFmtId="0" fontId="0" fillId="0" borderId="9" xfId="0" applyBorder="1" applyAlignment="1">
      <alignment vertical="top"/>
    </xf>
    <xf numFmtId="0" fontId="4" fillId="0" borderId="0" xfId="0" applyFont="1" applyAlignment="1">
      <alignment vertical="top"/>
    </xf>
    <xf numFmtId="170" fontId="4" fillId="0" borderId="1" xfId="6" applyNumberFormat="1" applyFont="1" applyBorder="1" applyAlignment="1">
      <alignment vertical="top"/>
    </xf>
    <xf numFmtId="0" fontId="0" fillId="0" borderId="0" xfId="0" applyAlignment="1">
      <alignment vertical="top"/>
    </xf>
    <xf numFmtId="0" fontId="4" fillId="0" borderId="0" xfId="10" applyFont="1"/>
    <xf numFmtId="0" fontId="9" fillId="0" borderId="0" xfId="0" applyFont="1" applyAlignment="1">
      <alignment horizontal="left" vertical="top"/>
    </xf>
    <xf numFmtId="167" fontId="4" fillId="0" borderId="0" xfId="5" quotePrefix="1" applyNumberFormat="1" applyFont="1" applyAlignment="1">
      <alignment horizontal="right"/>
    </xf>
    <xf numFmtId="167" fontId="4" fillId="0" borderId="0" xfId="5" quotePrefix="1" applyNumberFormat="1" applyFont="1" applyAlignment="1">
      <alignment horizontal="right" vertical="top"/>
    </xf>
    <xf numFmtId="0" fontId="0" fillId="0" borderId="0" xfId="0" applyAlignment="1">
      <alignment vertical="top"/>
    </xf>
    <xf numFmtId="0" fontId="18" fillId="0" borderId="0" xfId="3" applyFont="1" applyAlignment="1">
      <alignment vertical="top"/>
    </xf>
    <xf numFmtId="166" fontId="4" fillId="0" borderId="0" xfId="5" applyNumberFormat="1" applyFont="1" applyAlignment="1">
      <alignment horizontal="right"/>
    </xf>
    <xf numFmtId="0" fontId="14" fillId="0" borderId="0" xfId="1" applyFont="1" applyFill="1" applyAlignment="1" applyProtection="1"/>
    <xf numFmtId="0" fontId="14" fillId="0" borderId="0" xfId="1" applyFont="1" applyFill="1" applyBorder="1" applyAlignment="1" applyProtection="1"/>
    <xf numFmtId="0" fontId="14" fillId="0" borderId="0" xfId="1" applyFont="1" applyFill="1" applyBorder="1" applyAlignment="1" applyProtection="1">
      <alignment wrapText="1"/>
    </xf>
    <xf numFmtId="0" fontId="16" fillId="0" borderId="0" xfId="1" applyFont="1" applyFill="1" applyAlignment="1" applyProtection="1">
      <alignment vertical="top"/>
    </xf>
    <xf numFmtId="0" fontId="14" fillId="0" borderId="0" xfId="1" applyFont="1" applyFill="1" applyAlignment="1" applyProtection="1">
      <alignment wrapText="1"/>
    </xf>
    <xf numFmtId="0" fontId="4" fillId="2" borderId="5" xfId="0" applyFont="1" applyFill="1" applyBorder="1" applyAlignment="1">
      <alignment horizontal="center" vertical="top"/>
    </xf>
    <xf numFmtId="0" fontId="0" fillId="0" borderId="11" xfId="0" applyBorder="1" applyAlignment="1">
      <alignment horizontal="center" vertical="top"/>
    </xf>
    <xf numFmtId="0" fontId="0" fillId="0" borderId="11" xfId="0" applyBorder="1" applyAlignment="1">
      <alignment vertical="top"/>
    </xf>
    <xf numFmtId="0" fontId="4" fillId="2" borderId="2" xfId="0" applyFont="1" applyFill="1" applyBorder="1" applyAlignment="1">
      <alignment horizontal="right" vertical="top"/>
    </xf>
    <xf numFmtId="0" fontId="0" fillId="0" borderId="4" xfId="0" applyBorder="1" applyAlignment="1">
      <alignment horizontal="right" vertical="top"/>
    </xf>
    <xf numFmtId="0" fontId="4" fillId="2" borderId="2" xfId="0" applyFont="1" applyFill="1" applyBorder="1" applyAlignment="1">
      <alignment horizontal="left" vertical="top" wrapText="1"/>
    </xf>
    <xf numFmtId="0" fontId="0" fillId="0" borderId="4" xfId="0" applyBorder="1" applyAlignment="1">
      <alignment horizontal="left" vertical="top" wrapText="1"/>
    </xf>
    <xf numFmtId="0" fontId="4" fillId="2" borderId="2" xfId="0" applyFont="1" applyFill="1" applyBorder="1" applyAlignment="1">
      <alignment horizontal="left" vertical="top" wrapText="1" indent="2"/>
    </xf>
    <xf numFmtId="0" fontId="0" fillId="0" borderId="4" xfId="0" applyBorder="1" applyAlignment="1">
      <alignment horizontal="left" vertical="top" wrapText="1" indent="2"/>
    </xf>
    <xf numFmtId="0" fontId="4" fillId="2" borderId="8" xfId="0" applyFont="1" applyFill="1" applyBorder="1" applyAlignment="1">
      <alignment horizontal="center" vertical="top"/>
    </xf>
    <xf numFmtId="0" fontId="0" fillId="0" borderId="9" xfId="0" applyBorder="1" applyAlignment="1">
      <alignment horizontal="center" vertical="top"/>
    </xf>
    <xf numFmtId="0" fontId="4" fillId="2" borderId="1" xfId="3" applyFont="1" applyFill="1" applyBorder="1" applyAlignment="1">
      <alignment horizontal="center" vertical="top" wrapText="1"/>
    </xf>
    <xf numFmtId="0" fontId="0" fillId="0" borderId="1" xfId="0" applyBorder="1" applyAlignment="1">
      <alignment horizontal="center" vertical="top"/>
    </xf>
    <xf numFmtId="0" fontId="4" fillId="2" borderId="2" xfId="3" applyFont="1" applyFill="1" applyBorder="1" applyAlignment="1">
      <alignment horizontal="left" vertical="top" wrapText="1"/>
    </xf>
    <xf numFmtId="0" fontId="0" fillId="0" borderId="4" xfId="0" applyBorder="1" applyAlignment="1">
      <alignment horizontal="left" vertical="top"/>
    </xf>
    <xf numFmtId="0" fontId="0" fillId="0" borderId="1" xfId="0" applyBorder="1" applyAlignment="1">
      <alignment horizontal="center" vertical="top" wrapText="1"/>
    </xf>
    <xf numFmtId="0" fontId="4" fillId="2" borderId="10" xfId="3" applyFont="1" applyFill="1" applyBorder="1" applyAlignment="1">
      <alignment horizontal="center" vertical="top"/>
    </xf>
    <xf numFmtId="0" fontId="4" fillId="2" borderId="2" xfId="0" applyFont="1" applyFill="1" applyBorder="1" applyAlignment="1">
      <alignment vertical="top" wrapText="1"/>
    </xf>
    <xf numFmtId="0" fontId="4" fillId="2" borderId="4" xfId="0" applyFont="1" applyFill="1" applyBorder="1" applyAlignment="1">
      <alignment vertical="top"/>
    </xf>
    <xf numFmtId="0" fontId="4" fillId="2" borderId="9" xfId="0" applyFont="1" applyFill="1" applyBorder="1" applyAlignment="1">
      <alignment horizontal="center" vertical="top"/>
    </xf>
    <xf numFmtId="0" fontId="0" fillId="0" borderId="10" xfId="0" applyBorder="1" applyAlignment="1">
      <alignment vertical="top"/>
    </xf>
    <xf numFmtId="0" fontId="4" fillId="2" borderId="1" xfId="0" applyFont="1" applyFill="1" applyBorder="1" applyAlignment="1">
      <alignment horizontal="center" vertical="center"/>
    </xf>
    <xf numFmtId="0" fontId="0" fillId="0" borderId="1" xfId="0" applyBorder="1" applyAlignment="1"/>
    <xf numFmtId="0" fontId="6" fillId="0" borderId="0" xfId="0" applyFont="1" applyAlignment="1">
      <alignment vertical="top" wrapText="1"/>
    </xf>
    <xf numFmtId="0" fontId="4" fillId="0" borderId="0" xfId="0" applyFont="1" applyAlignment="1">
      <alignment vertical="top"/>
    </xf>
    <xf numFmtId="0" fontId="0" fillId="0" borderId="0" xfId="0" applyAlignment="1">
      <alignment vertical="top"/>
    </xf>
    <xf numFmtId="0" fontId="18" fillId="0" borderId="0" xfId="3" applyFont="1" applyAlignment="1">
      <alignment vertical="top"/>
    </xf>
    <xf numFmtId="0" fontId="4" fillId="2" borderId="8" xfId="0" applyFont="1" applyFill="1" applyBorder="1" applyAlignment="1">
      <alignment horizontal="center" vertical="center"/>
    </xf>
    <xf numFmtId="0" fontId="0" fillId="0" borderId="9" xfId="0" applyBorder="1" applyAlignment="1"/>
    <xf numFmtId="0" fontId="0" fillId="0" borderId="10" xfId="0" applyBorder="1" applyAlignment="1"/>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 xfId="0" applyFont="1" applyFill="1" applyBorder="1" applyAlignment="1">
      <alignment horizontal="right" vertical="top"/>
    </xf>
    <xf numFmtId="0" fontId="0" fillId="0" borderId="1" xfId="0" applyBorder="1" applyAlignment="1">
      <alignment vertical="top"/>
    </xf>
    <xf numFmtId="0" fontId="0" fillId="0" borderId="4" xfId="0" applyBorder="1" applyAlignment="1">
      <alignment vertical="top"/>
    </xf>
    <xf numFmtId="0" fontId="4" fillId="2" borderId="1" xfId="0" applyFont="1" applyFill="1" applyBorder="1" applyAlignment="1">
      <alignment horizontal="center" vertical="top"/>
    </xf>
    <xf numFmtId="0" fontId="0" fillId="2" borderId="1" xfId="0" applyFill="1" applyBorder="1" applyAlignment="1">
      <alignment horizontal="center" vertical="top"/>
    </xf>
    <xf numFmtId="0" fontId="4" fillId="2" borderId="1" xfId="0" applyFont="1" applyFill="1" applyBorder="1" applyAlignment="1">
      <alignment horizontal="left" vertical="top" wrapText="1"/>
    </xf>
    <xf numFmtId="0" fontId="0" fillId="0" borderId="1" xfId="0" applyBorder="1" applyAlignment="1">
      <alignment horizontal="left" vertical="top"/>
    </xf>
    <xf numFmtId="0" fontId="4" fillId="2" borderId="1" xfId="0" quotePrefix="1" applyFont="1" applyFill="1" applyBorder="1" applyAlignment="1">
      <alignment horizontal="right" vertical="top" wrapText="1"/>
    </xf>
    <xf numFmtId="0" fontId="4" fillId="2" borderId="8" xfId="0" applyFont="1" applyFill="1" applyBorder="1" applyAlignment="1">
      <alignment horizontal="center" vertical="top" wrapText="1"/>
    </xf>
    <xf numFmtId="0" fontId="0" fillId="2" borderId="10" xfId="0" applyFill="1" applyBorder="1" applyAlignment="1">
      <alignment horizontal="center" vertical="top" wrapText="1"/>
    </xf>
    <xf numFmtId="0" fontId="0" fillId="0" borderId="10" xfId="0" applyBorder="1" applyAlignment="1">
      <alignment vertical="top" wrapText="1"/>
    </xf>
    <xf numFmtId="0" fontId="0" fillId="0" borderId="10" xfId="0" applyBorder="1" applyAlignment="1">
      <alignment horizontal="center" vertical="top"/>
    </xf>
    <xf numFmtId="0" fontId="0" fillId="0" borderId="3" xfId="0" applyBorder="1" applyAlignment="1">
      <alignment vertical="top"/>
    </xf>
    <xf numFmtId="0" fontId="0" fillId="0" borderId="3" xfId="0" applyBorder="1" applyAlignment="1">
      <alignment horizontal="left" vertical="top" indent="2"/>
    </xf>
    <xf numFmtId="0" fontId="0" fillId="0" borderId="4" xfId="0" applyBorder="1" applyAlignment="1">
      <alignment horizontal="left" vertical="top" indent="2"/>
    </xf>
    <xf numFmtId="0" fontId="0" fillId="0" borderId="9" xfId="0" applyBorder="1" applyAlignment="1">
      <alignment vertical="top"/>
    </xf>
    <xf numFmtId="0" fontId="0" fillId="0" borderId="10" xfId="0" applyBorder="1" applyAlignment="1">
      <alignment horizontal="center" vertical="top" wrapText="1"/>
    </xf>
    <xf numFmtId="0" fontId="0" fillId="0" borderId="9" xfId="0" applyBorder="1" applyAlignment="1">
      <alignment horizontal="center" vertical="top" wrapText="1"/>
    </xf>
    <xf numFmtId="0" fontId="4" fillId="2" borderId="10" xfId="3" quotePrefix="1" applyFont="1" applyFill="1" applyBorder="1" applyAlignment="1">
      <alignment horizontal="center" vertical="top"/>
    </xf>
    <xf numFmtId="0" fontId="4" fillId="2" borderId="1" xfId="3" quotePrefix="1" applyFont="1" applyFill="1" applyBorder="1" applyAlignment="1">
      <alignment horizontal="center" vertical="top" wrapText="1"/>
    </xf>
    <xf numFmtId="3" fontId="0" fillId="2" borderId="1" xfId="0" applyNumberFormat="1" applyFill="1" applyBorder="1" applyAlignment="1">
      <alignment horizontal="center" vertical="top"/>
    </xf>
    <xf numFmtId="164" fontId="4" fillId="2" borderId="1" xfId="0" applyNumberFormat="1" applyFont="1" applyFill="1" applyBorder="1" applyAlignment="1">
      <alignment horizontal="center" vertical="top" wrapText="1"/>
    </xf>
    <xf numFmtId="164" fontId="0" fillId="2" borderId="1" xfId="0" applyNumberFormat="1" applyFill="1" applyBorder="1" applyAlignment="1">
      <alignment horizontal="center" vertical="top"/>
    </xf>
    <xf numFmtId="3" fontId="4" fillId="2" borderId="1" xfId="0" applyNumberFormat="1" applyFont="1" applyFill="1" applyBorder="1" applyAlignment="1">
      <alignment horizontal="center" vertical="top"/>
    </xf>
    <xf numFmtId="0" fontId="4" fillId="2" borderId="1" xfId="0" applyFont="1" applyFill="1" applyBorder="1" applyAlignment="1">
      <alignment horizontal="center" vertical="top" wrapText="1"/>
    </xf>
    <xf numFmtId="0" fontId="0" fillId="2" borderId="1" xfId="0" applyFill="1" applyBorder="1" applyAlignment="1">
      <alignment horizontal="center" vertical="top" wrapText="1"/>
    </xf>
    <xf numFmtId="0" fontId="4" fillId="2" borderId="5" xfId="0" applyFont="1" applyFill="1" applyBorder="1" applyAlignment="1">
      <alignment horizontal="center" vertical="top" wrapText="1"/>
    </xf>
    <xf numFmtId="0" fontId="0" fillId="0" borderId="6" xfId="0" applyBorder="1" applyAlignment="1">
      <alignment horizontal="center" vertical="top" wrapText="1"/>
    </xf>
    <xf numFmtId="0" fontId="0" fillId="0" borderId="12" xfId="0" applyBorder="1" applyAlignment="1">
      <alignment horizontal="center" vertical="top"/>
    </xf>
    <xf numFmtId="0" fontId="0" fillId="0" borderId="13" xfId="0" applyBorder="1" applyAlignment="1">
      <alignment horizontal="center" vertical="top"/>
    </xf>
    <xf numFmtId="0" fontId="0" fillId="0" borderId="6" xfId="0" applyBorder="1" applyAlignment="1">
      <alignment vertical="top"/>
    </xf>
    <xf numFmtId="0" fontId="0" fillId="0" borderId="12" xfId="0" applyBorder="1" applyAlignment="1">
      <alignment vertical="top"/>
    </xf>
    <xf numFmtId="0" fontId="0" fillId="0" borderId="13" xfId="0" applyBorder="1" applyAlignment="1">
      <alignment vertical="top"/>
    </xf>
    <xf numFmtId="0" fontId="0" fillId="0" borderId="7" xfId="0" applyBorder="1" applyAlignment="1">
      <alignment vertical="top"/>
    </xf>
    <xf numFmtId="0" fontId="18" fillId="0" borderId="0" xfId="3" applyFont="1" applyAlignment="1">
      <alignment vertical="top" wrapText="1"/>
    </xf>
    <xf numFmtId="0" fontId="0" fillId="0" borderId="0" xfId="0" applyAlignment="1">
      <alignment vertical="top" wrapText="1"/>
    </xf>
    <xf numFmtId="0" fontId="2" fillId="2" borderId="8" xfId="0" applyFont="1" applyFill="1" applyBorder="1" applyAlignment="1">
      <alignment horizontal="center" vertical="center"/>
    </xf>
    <xf numFmtId="0" fontId="0" fillId="0" borderId="0" xfId="0" applyAlignment="1">
      <alignment wrapText="1"/>
    </xf>
    <xf numFmtId="0" fontId="4" fillId="2" borderId="6" xfId="0" applyFont="1" applyFill="1" applyBorder="1" applyAlignment="1">
      <alignment horizontal="center" vertical="top" wrapText="1"/>
    </xf>
    <xf numFmtId="0" fontId="4" fillId="2" borderId="12" xfId="0" applyFont="1" applyFill="1" applyBorder="1" applyAlignment="1">
      <alignment horizontal="center" vertical="top" wrapText="1"/>
    </xf>
    <xf numFmtId="0" fontId="4" fillId="2" borderId="13" xfId="0" applyFont="1" applyFill="1" applyBorder="1" applyAlignment="1">
      <alignment horizontal="center" vertical="top" wrapText="1"/>
    </xf>
    <xf numFmtId="0" fontId="0" fillId="0" borderId="6" xfId="0" applyBorder="1" applyAlignment="1">
      <alignment vertical="top" wrapText="1"/>
    </xf>
    <xf numFmtId="0" fontId="0" fillId="0" borderId="12" xfId="0" applyBorder="1" applyAlignment="1">
      <alignment vertical="top" wrapText="1"/>
    </xf>
    <xf numFmtId="0" fontId="0" fillId="0" borderId="13" xfId="0" applyBorder="1" applyAlignment="1">
      <alignment vertical="top" wrapText="1"/>
    </xf>
    <xf numFmtId="0" fontId="0" fillId="0" borderId="6" xfId="0" applyBorder="1" applyAlignment="1">
      <alignment horizontal="center" vertical="top"/>
    </xf>
    <xf numFmtId="0" fontId="4" fillId="2" borderId="2" xfId="0" applyFont="1" applyFill="1" applyBorder="1" applyAlignment="1">
      <alignment horizontal="center" vertical="top" wrapText="1"/>
    </xf>
    <xf numFmtId="0" fontId="0" fillId="0" borderId="3" xfId="0" applyBorder="1" applyAlignment="1">
      <alignment horizontal="center" vertical="top"/>
    </xf>
    <xf numFmtId="0" fontId="4" fillId="2" borderId="8" xfId="0" applyFont="1" applyFill="1" applyBorder="1" applyAlignment="1">
      <alignment horizontal="center"/>
    </xf>
    <xf numFmtId="0" fontId="4" fillId="0" borderId="9" xfId="0" applyFont="1" applyBorder="1" applyAlignment="1">
      <alignment horizontal="center"/>
    </xf>
    <xf numFmtId="0" fontId="4" fillId="0" borderId="10" xfId="0" applyFont="1" applyBorder="1" applyAlignment="1">
      <alignment horizontal="center"/>
    </xf>
    <xf numFmtId="0" fontId="4" fillId="0" borderId="0" xfId="0" applyFont="1" applyAlignment="1">
      <alignment vertical="top" wrapText="1"/>
    </xf>
    <xf numFmtId="0" fontId="4" fillId="2" borderId="8" xfId="3" applyFont="1" applyFill="1" applyBorder="1" applyAlignment="1">
      <alignment horizontal="center" vertical="top" wrapText="1"/>
    </xf>
    <xf numFmtId="0" fontId="0" fillId="2" borderId="9" xfId="0" applyFill="1" applyBorder="1" applyAlignment="1">
      <alignment horizontal="center" vertical="top"/>
    </xf>
    <xf numFmtId="0" fontId="0" fillId="2" borderId="10" xfId="0" applyFill="1" applyBorder="1" applyAlignment="1">
      <alignment horizontal="center" vertical="top"/>
    </xf>
    <xf numFmtId="0" fontId="4" fillId="2" borderId="2" xfId="3" applyFont="1" applyFill="1" applyBorder="1" applyAlignment="1">
      <alignment horizontal="right" vertical="top" wrapText="1"/>
    </xf>
    <xf numFmtId="0" fontId="4" fillId="0" borderId="4" xfId="0" applyFont="1" applyBorder="1" applyAlignment="1">
      <alignment horizontal="right" vertical="top"/>
    </xf>
    <xf numFmtId="0" fontId="0" fillId="0" borderId="0" xfId="0" applyAlignment="1">
      <alignment horizontal="left"/>
    </xf>
  </cellXfs>
  <cellStyles count="11">
    <cellStyle name="Hyperlink 2" xfId="2"/>
    <cellStyle name="Komma" xfId="5" builtinId="3"/>
    <cellStyle name="Komma 2" xfId="9"/>
    <cellStyle name="Link" xfId="1" builtinId="8"/>
    <cellStyle name="Prozent" xfId="6" builtinId="5"/>
    <cellStyle name="Standard" xfId="0" builtinId="0"/>
    <cellStyle name="Standard 2" xfId="3"/>
    <cellStyle name="Standard 2 2" xfId="10"/>
    <cellStyle name="Standard 3" xfId="4"/>
    <cellStyle name="Standard 4" xfId="7"/>
    <cellStyle name="Standard 5" xfId="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1D1D1B"/>
      <rgbColor rgb="00FFFFFF"/>
      <rgbColor rgb="00FFFFFF"/>
      <rgbColor rgb="00F8F8F8"/>
      <rgbColor rgb="00D0C9BD"/>
      <rgbColor rgb="00F8F8F8"/>
      <rgbColor rgb="00F8F8F8"/>
      <rgbColor rgb="00F8F8F8"/>
      <rgbColor rgb="00D8BFB5"/>
      <rgbColor rgb="00BCB29A"/>
      <rgbColor rgb="00E7E7E7"/>
      <rgbColor rgb="009E8E7B"/>
      <rgbColor rgb="00F8F8F8"/>
      <rgbColor rgb="00545F6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F8F8F8"/>
      <rgbColor rgb="00CCFFFF"/>
      <rgbColor rgb="00CCFFCC"/>
      <rgbColor rgb="00FFFF99"/>
      <rgbColor rgb="0099CCFF"/>
      <rgbColor rgb="00FF99CC"/>
      <rgbColor rgb="00CC99FF"/>
      <rgbColor rgb="00FFCC99"/>
      <rgbColor rgb="003C4041"/>
      <rgbColor rgb="007F6E51"/>
      <rgbColor rgb="00D9C7A7"/>
      <rgbColor rgb="00F8F8F8"/>
      <rgbColor rgb="00FAEBBF"/>
      <rgbColor rgb="00B19A8F"/>
      <rgbColor rgb="00F8F8F8"/>
      <rgbColor rgb="00969696"/>
      <rgbColor rgb="00CCCCCC"/>
      <rgbColor rgb="00B19770"/>
      <rgbColor rgb="00B7B7B7"/>
      <rgbColor rgb="0094897E"/>
      <rgbColor rgb="00696868"/>
      <rgbColor rgb="00F8F8F8"/>
      <rgbColor rgb="00F8F8F8"/>
      <rgbColor rgb="00333333"/>
    </indexedColors>
    <mruColors>
      <color rgb="FF404040"/>
      <color rgb="FF7F6E51"/>
      <color rgb="FF94897E"/>
      <color rgb="FFD0C9BD"/>
      <color rgb="FFE0E3BF"/>
      <color rgb="FFD9C7A7"/>
      <color rgb="FFEEE5CE"/>
      <color rgb="FFFAEBBF"/>
      <color rgb="FFD8BFB5"/>
      <color rgb="FFE7D5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sz="1400">
                <a:latin typeface="Arial" panose="020B0604020202020204" pitchFamily="34" charset="0"/>
                <a:cs typeface="Arial" panose="020B0604020202020204" pitchFamily="34" charset="0"/>
              </a:rPr>
              <a:t>Entwicklung</a:t>
            </a:r>
            <a:r>
              <a:rPr lang="de-CH" sz="1400" baseline="0">
                <a:latin typeface="Arial" panose="020B0604020202020204" pitchFamily="34" charset="0"/>
                <a:cs typeface="Arial" panose="020B0604020202020204" pitchFamily="34" charset="0"/>
              </a:rPr>
              <a:t> der Pflichtigen, des Einkommens und Vermögens, </a:t>
            </a:r>
          </a:p>
          <a:p>
            <a:pPr>
              <a:defRPr/>
            </a:pPr>
            <a:r>
              <a:rPr lang="de-CH" sz="1400" baseline="0">
                <a:latin typeface="Arial" panose="020B0604020202020204" pitchFamily="34" charset="0"/>
                <a:cs typeface="Arial" panose="020B0604020202020204" pitchFamily="34" charset="0"/>
              </a:rPr>
              <a:t>2001 - 2013</a:t>
            </a:r>
            <a:endParaRPr lang="de-CH" sz="1400">
              <a:latin typeface="Arial" panose="020B0604020202020204" pitchFamily="34" charset="0"/>
              <a:cs typeface="Arial" panose="020B0604020202020204" pitchFamily="34" charset="0"/>
            </a:endParaRPr>
          </a:p>
        </c:rich>
      </c:tx>
      <c:overlay val="0"/>
    </c:title>
    <c:autoTitleDeleted val="0"/>
    <c:plotArea>
      <c:layout/>
      <c:lineChart>
        <c:grouping val="standard"/>
        <c:varyColors val="0"/>
        <c:ser>
          <c:idx val="0"/>
          <c:order val="0"/>
          <c:tx>
            <c:strRef>
              <c:f>'T 1'!$P$45</c:f>
              <c:strCache>
                <c:ptCount val="1"/>
                <c:pt idx="0">
                  <c:v>Pflichtige</c:v>
                </c:pt>
              </c:strCache>
            </c:strRef>
          </c:tx>
          <c:spPr>
            <a:ln w="28575">
              <a:solidFill>
                <a:srgbClr val="D8BFB5"/>
              </a:solidFill>
            </a:ln>
          </c:spPr>
          <c:marker>
            <c:symbol val="none"/>
          </c:marker>
          <c:cat>
            <c:numRef>
              <c:f>'T 1'!$O$46:$O$58</c:f>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'T 1'!$P$46:$P$58</c:f>
              <c:numCache>
                <c:formatCode>_ * #,##0.0_ ;_ * \-#,##0.0_ ;_ * "-"??_ ;_ @_ </c:formatCode>
                <c:ptCount val="13"/>
                <c:pt idx="0">
                  <c:v>100</c:v>
                </c:pt>
                <c:pt idx="1">
                  <c:v>101.54142641691483</c:v>
                </c:pt>
                <c:pt idx="2">
                  <c:v>103.33672755559809</c:v>
                </c:pt>
                <c:pt idx="3">
                  <c:v>104.97780826619727</c:v>
                </c:pt>
                <c:pt idx="4">
                  <c:v>106.50311809206954</c:v>
                </c:pt>
                <c:pt idx="5">
                  <c:v>107.99648440109466</c:v>
                </c:pt>
                <c:pt idx="6">
                  <c:v>109.59953165494456</c:v>
                </c:pt>
                <c:pt idx="7">
                  <c:v>111.14945790770585</c:v>
                </c:pt>
                <c:pt idx="8">
                  <c:v>113.122915160912</c:v>
                </c:pt>
                <c:pt idx="9">
                  <c:v>115.14416520782009</c:v>
                </c:pt>
                <c:pt idx="10">
                  <c:v>116.95773722488624</c:v>
                </c:pt>
                <c:pt idx="11">
                  <c:v>118.90995380706586</c:v>
                </c:pt>
                <c:pt idx="12">
                  <c:v>120.72537472202092</c:v>
                </c:pt>
              </c:numCache>
            </c:numRef>
          </c:val>
          <c:smooth val="0"/>
          <c:extLst>
            <c:ext xmlns:c16="http://schemas.microsoft.com/office/drawing/2014/chart" uri="{C3380CC4-5D6E-409C-BE32-E72D297353CC}">
              <c16:uniqueId val="{00000000-815E-4177-A02A-7B05D4D23305}"/>
            </c:ext>
          </c:extLst>
        </c:ser>
        <c:ser>
          <c:idx val="2"/>
          <c:order val="1"/>
          <c:tx>
            <c:strRef>
              <c:f>'T 1'!$Q$45</c:f>
              <c:strCache>
                <c:ptCount val="1"/>
                <c:pt idx="0">
                  <c:v>Reineinkommen</c:v>
                </c:pt>
              </c:strCache>
            </c:strRef>
          </c:tx>
          <c:spPr>
            <a:ln w="28575">
              <a:solidFill>
                <a:srgbClr val="EEE5CE"/>
              </a:solidFill>
            </a:ln>
          </c:spPr>
          <c:marker>
            <c:symbol val="none"/>
          </c:marker>
          <c:cat>
            <c:numRef>
              <c:f>'T 1'!$O$46:$O$58</c:f>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'T 1'!$Q$46:$Q$58</c:f>
              <c:numCache>
                <c:formatCode>_ * #,##0.0_ ;_ * \-#,##0.0_ ;_ * "-"??_ ;_ @_ </c:formatCode>
                <c:ptCount val="13"/>
                <c:pt idx="0">
                  <c:v>100</c:v>
                </c:pt>
                <c:pt idx="1">
                  <c:v>100.22669440036466</c:v>
                </c:pt>
                <c:pt idx="2">
                  <c:v>99.588833608842776</c:v>
                </c:pt>
                <c:pt idx="3">
                  <c:v>100.08443790418104</c:v>
                </c:pt>
                <c:pt idx="4">
                  <c:v>100.72620114621465</c:v>
                </c:pt>
                <c:pt idx="5">
                  <c:v>101.90241516560845</c:v>
                </c:pt>
                <c:pt idx="6">
                  <c:v>105.17279998017371</c:v>
                </c:pt>
                <c:pt idx="7">
                  <c:v>107.41214646631603</c:v>
                </c:pt>
                <c:pt idx="8">
                  <c:v>108.30661777182267</c:v>
                </c:pt>
                <c:pt idx="9">
                  <c:v>109.36530664430208</c:v>
                </c:pt>
                <c:pt idx="10">
                  <c:v>111.00924396804155</c:v>
                </c:pt>
                <c:pt idx="11">
                  <c:v>111.72773092947894</c:v>
                </c:pt>
                <c:pt idx="12">
                  <c:v>112.28891233307552</c:v>
                </c:pt>
              </c:numCache>
            </c:numRef>
          </c:val>
          <c:smooth val="0"/>
          <c:extLst>
            <c:ext xmlns:c16="http://schemas.microsoft.com/office/drawing/2014/chart" uri="{C3380CC4-5D6E-409C-BE32-E72D297353CC}">
              <c16:uniqueId val="{00000001-815E-4177-A02A-7B05D4D23305}"/>
            </c:ext>
          </c:extLst>
        </c:ser>
        <c:ser>
          <c:idx val="3"/>
          <c:order val="2"/>
          <c:tx>
            <c:strRef>
              <c:f>'T 1'!$R$45</c:f>
              <c:strCache>
                <c:ptCount val="1"/>
                <c:pt idx="0">
                  <c:v>steuerbares Einkommen</c:v>
                </c:pt>
              </c:strCache>
            </c:strRef>
          </c:tx>
          <c:spPr>
            <a:ln w="28575">
              <a:solidFill>
                <a:srgbClr val="D9C7A7"/>
              </a:solidFill>
            </a:ln>
          </c:spPr>
          <c:marker>
            <c:symbol val="none"/>
          </c:marker>
          <c:cat>
            <c:numRef>
              <c:f>'T 1'!$O$46:$O$58</c:f>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'T 1'!$R$46:$R$58</c:f>
              <c:numCache>
                <c:formatCode>_ * #,##0.0_ ;_ * \-#,##0.0_ ;_ * "-"??_ ;_ @_ </c:formatCode>
                <c:ptCount val="13"/>
                <c:pt idx="0">
                  <c:v>100</c:v>
                </c:pt>
                <c:pt idx="1">
                  <c:v>100.23529005360831</c:v>
                </c:pt>
                <c:pt idx="2">
                  <c:v>100.0054432568793</c:v>
                </c:pt>
                <c:pt idx="3">
                  <c:v>100.24604369781377</c:v>
                </c:pt>
                <c:pt idx="4">
                  <c:v>101.02005403753319</c:v>
                </c:pt>
                <c:pt idx="5">
                  <c:v>102.32833038869495</c:v>
                </c:pt>
                <c:pt idx="6">
                  <c:v>103.44125496016947</c:v>
                </c:pt>
                <c:pt idx="7">
                  <c:v>105.86529810241045</c:v>
                </c:pt>
                <c:pt idx="8">
                  <c:v>106.78500180454191</c:v>
                </c:pt>
                <c:pt idx="9">
                  <c:v>107.77562191499021</c:v>
                </c:pt>
                <c:pt idx="10">
                  <c:v>109.53629579379145</c:v>
                </c:pt>
                <c:pt idx="11">
                  <c:v>110.36004462057004</c:v>
                </c:pt>
                <c:pt idx="12">
                  <c:v>111.01611905492791</c:v>
                </c:pt>
              </c:numCache>
            </c:numRef>
          </c:val>
          <c:smooth val="0"/>
          <c:extLst>
            <c:ext xmlns:c16="http://schemas.microsoft.com/office/drawing/2014/chart" uri="{C3380CC4-5D6E-409C-BE32-E72D297353CC}">
              <c16:uniqueId val="{00000002-815E-4177-A02A-7B05D4D23305}"/>
            </c:ext>
          </c:extLst>
        </c:ser>
        <c:ser>
          <c:idx val="5"/>
          <c:order val="3"/>
          <c:tx>
            <c:strRef>
              <c:f>'T 1'!$S$45</c:f>
              <c:strCache>
                <c:ptCount val="1"/>
                <c:pt idx="0">
                  <c:v>Reinvermögen</c:v>
                </c:pt>
              </c:strCache>
            </c:strRef>
          </c:tx>
          <c:spPr>
            <a:ln w="28575">
              <a:solidFill>
                <a:srgbClr val="7F6E51"/>
              </a:solidFill>
            </a:ln>
          </c:spPr>
          <c:marker>
            <c:symbol val="none"/>
          </c:marker>
          <c:cat>
            <c:numRef>
              <c:f>'T 1'!$O$46:$O$58</c:f>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'T 1'!$S$46:$S$58</c:f>
              <c:numCache>
                <c:formatCode>_ * #,##0.0_ ;_ * \-#,##0.0_ ;_ * "-"??_ ;_ @_ </c:formatCode>
                <c:ptCount val="13"/>
                <c:pt idx="0">
                  <c:v>100</c:v>
                </c:pt>
                <c:pt idx="1">
                  <c:v>98.401475387923171</c:v>
                </c:pt>
                <c:pt idx="2">
                  <c:v>101.06901681296262</c:v>
                </c:pt>
                <c:pt idx="3">
                  <c:v>100.17099139101316</c:v>
                </c:pt>
                <c:pt idx="4">
                  <c:v>103.91760431521358</c:v>
                </c:pt>
                <c:pt idx="5">
                  <c:v>106.59011082300975</c:v>
                </c:pt>
                <c:pt idx="6">
                  <c:v>106.61726614556784</c:v>
                </c:pt>
                <c:pt idx="7">
                  <c:v>97.530875255363014</c:v>
                </c:pt>
                <c:pt idx="8">
                  <c:v>102.11810897321448</c:v>
                </c:pt>
                <c:pt idx="9">
                  <c:v>102.0358526102922</c:v>
                </c:pt>
                <c:pt idx="10">
                  <c:v>103.85809393402101</c:v>
                </c:pt>
                <c:pt idx="11">
                  <c:v>108.72981508869977</c:v>
                </c:pt>
                <c:pt idx="12">
                  <c:v>111.87100527369466</c:v>
                </c:pt>
              </c:numCache>
            </c:numRef>
          </c:val>
          <c:smooth val="0"/>
          <c:extLst>
            <c:ext xmlns:c16="http://schemas.microsoft.com/office/drawing/2014/chart" uri="{C3380CC4-5D6E-409C-BE32-E72D297353CC}">
              <c16:uniqueId val="{00000003-815E-4177-A02A-7B05D4D23305}"/>
            </c:ext>
          </c:extLst>
        </c:ser>
        <c:ser>
          <c:idx val="6"/>
          <c:order val="4"/>
          <c:tx>
            <c:strRef>
              <c:f>'T 1'!$T$45</c:f>
              <c:strCache>
                <c:ptCount val="1"/>
                <c:pt idx="0">
                  <c:v>steuerbares Vermögen</c:v>
                </c:pt>
              </c:strCache>
            </c:strRef>
          </c:tx>
          <c:spPr>
            <a:ln w="28575">
              <a:solidFill>
                <a:srgbClr val="D0C9BD"/>
              </a:solidFill>
            </a:ln>
          </c:spPr>
          <c:marker>
            <c:symbol val="none"/>
          </c:marker>
          <c:cat>
            <c:numRef>
              <c:f>'T 1'!$O$46:$O$58</c:f>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'T 1'!$T$46:$T$58</c:f>
              <c:numCache>
                <c:formatCode>_ * #,##0.0_ ;_ * \-#,##0.0_ ;_ * "-"??_ ;_ @_ </c:formatCode>
                <c:ptCount val="13"/>
                <c:pt idx="0">
                  <c:v>100</c:v>
                </c:pt>
                <c:pt idx="1">
                  <c:v>96.511585245001015</c:v>
                </c:pt>
                <c:pt idx="2">
                  <c:v>100.27897830546846</c:v>
                </c:pt>
                <c:pt idx="3">
                  <c:v>99.753842254771925</c:v>
                </c:pt>
                <c:pt idx="4">
                  <c:v>105.61387949254232</c:v>
                </c:pt>
                <c:pt idx="5">
                  <c:v>109.53036567723335</c:v>
                </c:pt>
                <c:pt idx="6">
                  <c:v>109.69583757127144</c:v>
                </c:pt>
                <c:pt idx="7">
                  <c:v>97.180838981481045</c:v>
                </c:pt>
                <c:pt idx="8">
                  <c:v>103.63053292149165</c:v>
                </c:pt>
                <c:pt idx="9">
                  <c:v>103.16581657421217</c:v>
                </c:pt>
                <c:pt idx="10">
                  <c:v>105.77804661017535</c:v>
                </c:pt>
                <c:pt idx="11">
                  <c:v>112.5510394878166</c:v>
                </c:pt>
                <c:pt idx="12">
                  <c:v>117.45287192895502</c:v>
                </c:pt>
              </c:numCache>
            </c:numRef>
          </c:val>
          <c:smooth val="0"/>
          <c:extLst>
            <c:ext xmlns:c16="http://schemas.microsoft.com/office/drawing/2014/chart" uri="{C3380CC4-5D6E-409C-BE32-E72D297353CC}">
              <c16:uniqueId val="{00000004-815E-4177-A02A-7B05D4D23305}"/>
            </c:ext>
          </c:extLst>
        </c:ser>
        <c:dLbls>
          <c:showLegendKey val="0"/>
          <c:showVal val="0"/>
          <c:showCatName val="0"/>
          <c:showSerName val="0"/>
          <c:showPercent val="0"/>
          <c:showBubbleSize val="0"/>
        </c:dLbls>
        <c:smooth val="0"/>
        <c:axId val="50233728"/>
        <c:axId val="50235264"/>
      </c:lineChart>
      <c:catAx>
        <c:axId val="50233728"/>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0235264"/>
        <c:crossesAt val="90"/>
        <c:auto val="1"/>
        <c:lblAlgn val="ctr"/>
        <c:lblOffset val="100"/>
        <c:noMultiLvlLbl val="0"/>
      </c:catAx>
      <c:valAx>
        <c:axId val="50235264"/>
        <c:scaling>
          <c:orientation val="minMax"/>
          <c:max val="130"/>
          <c:min val="90"/>
        </c:scaling>
        <c:delete val="0"/>
        <c:axPos val="l"/>
        <c:majorGridlines/>
        <c:numFmt formatCode="_ * #,##0.0_ ;_ * \-#,##0.0_ ;_ * &quot;-&quot;??_ ;_ @_ "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0233728"/>
        <c:crosses val="autoZero"/>
        <c:crossBetween val="midCat"/>
        <c:majorUnit val="10"/>
      </c:valAx>
      <c:spPr>
        <a:noFill/>
        <a:ln w="25400">
          <a:noFill/>
        </a:ln>
      </c:spPr>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Arial" panose="020B0604020202020204" pitchFamily="34" charset="0"/>
                <a:cs typeface="Arial" panose="020B0604020202020204" pitchFamily="34" charset="0"/>
              </a:defRPr>
            </a:pPr>
            <a:r>
              <a:rPr lang="de-CH" sz="1400">
                <a:latin typeface="Arial" panose="020B0604020202020204" pitchFamily="34" charset="0"/>
                <a:cs typeface="Arial" panose="020B0604020202020204" pitchFamily="34" charset="0"/>
              </a:rPr>
              <a:t>Steuerpflichtige</a:t>
            </a:r>
            <a:r>
              <a:rPr lang="de-CH" sz="1400" baseline="0">
                <a:latin typeface="Arial" panose="020B0604020202020204" pitchFamily="34" charset="0"/>
                <a:cs typeface="Arial" panose="020B0604020202020204" pitchFamily="34" charset="0"/>
              </a:rPr>
              <a:t> und Einkommenssteuer nach Stufen des steuerbaren Einkommens, in Prozent, 2013</a:t>
            </a:r>
            <a:endParaRPr lang="de-CH" sz="1400">
              <a:latin typeface="Arial" panose="020B0604020202020204" pitchFamily="34" charset="0"/>
              <a:cs typeface="Arial" panose="020B0604020202020204" pitchFamily="34" charset="0"/>
            </a:endParaRPr>
          </a:p>
        </c:rich>
      </c:tx>
      <c:overlay val="0"/>
    </c:title>
    <c:autoTitleDeleted val="0"/>
    <c:plotArea>
      <c:layout>
        <c:manualLayout>
          <c:layoutTarget val="inner"/>
          <c:xMode val="edge"/>
          <c:yMode val="edge"/>
          <c:x val="6.3914005724158854E-2"/>
          <c:y val="0.18293878297032795"/>
          <c:w val="0.67995536738812179"/>
          <c:h val="0.75813178562014549"/>
        </c:manualLayout>
      </c:layout>
      <c:barChart>
        <c:barDir val="col"/>
        <c:grouping val="percentStacked"/>
        <c:varyColors val="0"/>
        <c:ser>
          <c:idx val="0"/>
          <c:order val="0"/>
          <c:tx>
            <c:strRef>
              <c:f>'T 21b'!$Q$18</c:f>
              <c:strCache>
                <c:ptCount val="1"/>
                <c:pt idx="0">
                  <c:v>0 Fr.</c:v>
                </c:pt>
              </c:strCache>
            </c:strRef>
          </c:tx>
          <c:spPr>
            <a:solidFill>
              <a:schemeClr val="tx1">
                <a:lumMod val="85000"/>
                <a:lumOff val="15000"/>
              </a:schemeClr>
            </a:solidFill>
          </c:spPr>
          <c:invertIfNegative val="0"/>
          <c:cat>
            <c:strRef>
              <c:f>'T 21b'!$P$21:$P$22</c:f>
              <c:strCache>
                <c:ptCount val="2"/>
                <c:pt idx="0">
                  <c:v>Pflichtige</c:v>
                </c:pt>
                <c:pt idx="1">
                  <c:v>Einkommenssteuer (100%)</c:v>
                </c:pt>
              </c:strCache>
            </c:strRef>
          </c:cat>
          <c:val>
            <c:numRef>
              <c:f>'T 21b'!$Q$21:$Q$22</c:f>
              <c:numCache>
                <c:formatCode>0.0%</c:formatCode>
                <c:ptCount val="2"/>
                <c:pt idx="0">
                  <c:v>0.11492156183140428</c:v>
                </c:pt>
                <c:pt idx="1">
                  <c:v>0</c:v>
                </c:pt>
              </c:numCache>
            </c:numRef>
          </c:val>
          <c:extLst>
            <c:ext xmlns:c16="http://schemas.microsoft.com/office/drawing/2014/chart" uri="{C3380CC4-5D6E-409C-BE32-E72D297353CC}">
              <c16:uniqueId val="{00000000-4B6F-48A3-A54C-54F94204758F}"/>
            </c:ext>
          </c:extLst>
        </c:ser>
        <c:ser>
          <c:idx val="1"/>
          <c:order val="1"/>
          <c:tx>
            <c:strRef>
              <c:f>'T 21b'!$R$18</c:f>
              <c:strCache>
                <c:ptCount val="1"/>
                <c:pt idx="0">
                  <c:v>0.1           -  24'999 Fr.</c:v>
                </c:pt>
              </c:strCache>
            </c:strRef>
          </c:tx>
          <c:spPr>
            <a:solidFill>
              <a:schemeClr val="tx1">
                <a:lumMod val="75000"/>
                <a:lumOff val="25000"/>
              </a:schemeClr>
            </a:solidFill>
          </c:spPr>
          <c:invertIfNegative val="0"/>
          <c:cat>
            <c:strRef>
              <c:f>'T 21b'!$P$21:$P$22</c:f>
              <c:strCache>
                <c:ptCount val="2"/>
                <c:pt idx="0">
                  <c:v>Pflichtige</c:v>
                </c:pt>
                <c:pt idx="1">
                  <c:v>Einkommenssteuer (100%)</c:v>
                </c:pt>
              </c:strCache>
            </c:strRef>
          </c:cat>
          <c:val>
            <c:numRef>
              <c:f>'T 21b'!$R$21:$R$22</c:f>
              <c:numCache>
                <c:formatCode>0.0%</c:formatCode>
                <c:ptCount val="2"/>
                <c:pt idx="0">
                  <c:v>9.988579118232023E-2</c:v>
                </c:pt>
                <c:pt idx="1">
                  <c:v>7.8817142374084503E-3</c:v>
                </c:pt>
              </c:numCache>
            </c:numRef>
          </c:val>
          <c:extLst>
            <c:ext xmlns:c16="http://schemas.microsoft.com/office/drawing/2014/chart" uri="{C3380CC4-5D6E-409C-BE32-E72D297353CC}">
              <c16:uniqueId val="{00000001-4B6F-48A3-A54C-54F94204758F}"/>
            </c:ext>
          </c:extLst>
        </c:ser>
        <c:ser>
          <c:idx val="2"/>
          <c:order val="2"/>
          <c:tx>
            <c:strRef>
              <c:f>'T 21b'!$S$18</c:f>
              <c:strCache>
                <c:ptCount val="1"/>
                <c:pt idx="0">
                  <c:v>25'000    -  49'999 Fr.</c:v>
                </c:pt>
              </c:strCache>
            </c:strRef>
          </c:tx>
          <c:spPr>
            <a:solidFill>
              <a:schemeClr val="bg1">
                <a:lumMod val="50000"/>
              </a:schemeClr>
            </a:solidFill>
          </c:spPr>
          <c:invertIfNegative val="0"/>
          <c:cat>
            <c:strRef>
              <c:f>'T 21b'!$P$21:$P$22</c:f>
              <c:strCache>
                <c:ptCount val="2"/>
                <c:pt idx="0">
                  <c:v>Pflichtige</c:v>
                </c:pt>
                <c:pt idx="1">
                  <c:v>Einkommenssteuer (100%)</c:v>
                </c:pt>
              </c:strCache>
            </c:strRef>
          </c:cat>
          <c:val>
            <c:numRef>
              <c:f>'T 21b'!$S$21:$S$22</c:f>
              <c:numCache>
                <c:formatCode>0.0%</c:formatCode>
                <c:ptCount val="2"/>
                <c:pt idx="0">
                  <c:v>0.26093268736153613</c:v>
                </c:pt>
                <c:pt idx="1">
                  <c:v>0.11531079508404074</c:v>
                </c:pt>
              </c:numCache>
            </c:numRef>
          </c:val>
          <c:extLst>
            <c:ext xmlns:c16="http://schemas.microsoft.com/office/drawing/2014/chart" uri="{C3380CC4-5D6E-409C-BE32-E72D297353CC}">
              <c16:uniqueId val="{00000002-4B6F-48A3-A54C-54F94204758F}"/>
            </c:ext>
          </c:extLst>
        </c:ser>
        <c:ser>
          <c:idx val="3"/>
          <c:order val="3"/>
          <c:tx>
            <c:strRef>
              <c:f>'T 21b'!$T$18</c:f>
              <c:strCache>
                <c:ptCount val="1"/>
                <c:pt idx="0">
                  <c:v>50'000    -  74'999 Fr.</c:v>
                </c:pt>
              </c:strCache>
            </c:strRef>
          </c:tx>
          <c:spPr>
            <a:solidFill>
              <a:srgbClr val="7F6E51"/>
            </a:solidFill>
          </c:spPr>
          <c:invertIfNegative val="0"/>
          <c:cat>
            <c:strRef>
              <c:f>'T 21b'!$P$21:$P$22</c:f>
              <c:strCache>
                <c:ptCount val="2"/>
                <c:pt idx="0">
                  <c:v>Pflichtige</c:v>
                </c:pt>
                <c:pt idx="1">
                  <c:v>Einkommenssteuer (100%)</c:v>
                </c:pt>
              </c:strCache>
            </c:strRef>
          </c:cat>
          <c:val>
            <c:numRef>
              <c:f>'T 21b'!$T$21:$T$22</c:f>
              <c:numCache>
                <c:formatCode>0.0%</c:formatCode>
                <c:ptCount val="2"/>
                <c:pt idx="0">
                  <c:v>0.24604651515618572</c:v>
                </c:pt>
                <c:pt idx="1">
                  <c:v>0.21473772172959912</c:v>
                </c:pt>
              </c:numCache>
            </c:numRef>
          </c:val>
          <c:extLst>
            <c:ext xmlns:c16="http://schemas.microsoft.com/office/drawing/2014/chart" uri="{C3380CC4-5D6E-409C-BE32-E72D297353CC}">
              <c16:uniqueId val="{00000003-4B6F-48A3-A54C-54F94204758F}"/>
            </c:ext>
          </c:extLst>
        </c:ser>
        <c:ser>
          <c:idx val="4"/>
          <c:order val="4"/>
          <c:tx>
            <c:strRef>
              <c:f>'T 21b'!$U$18</c:f>
              <c:strCache>
                <c:ptCount val="1"/>
                <c:pt idx="0">
                  <c:v>75'000    -  99'999 Fr.</c:v>
                </c:pt>
              </c:strCache>
            </c:strRef>
          </c:tx>
          <c:spPr>
            <a:solidFill>
              <a:srgbClr val="B1A773"/>
            </a:solidFill>
          </c:spPr>
          <c:invertIfNegative val="0"/>
          <c:cat>
            <c:strRef>
              <c:f>'T 21b'!$P$21:$P$22</c:f>
              <c:strCache>
                <c:ptCount val="2"/>
                <c:pt idx="0">
                  <c:v>Pflichtige</c:v>
                </c:pt>
                <c:pt idx="1">
                  <c:v>Einkommenssteuer (100%)</c:v>
                </c:pt>
              </c:strCache>
            </c:strRef>
          </c:cat>
          <c:val>
            <c:numRef>
              <c:f>'T 21b'!$U$21:$U$22</c:f>
              <c:numCache>
                <c:formatCode>0.0%</c:formatCode>
                <c:ptCount val="2"/>
                <c:pt idx="0">
                  <c:v>0.1342624113611644</c:v>
                </c:pt>
                <c:pt idx="1">
                  <c:v>0.18409958228176976</c:v>
                </c:pt>
              </c:numCache>
            </c:numRef>
          </c:val>
          <c:extLst>
            <c:ext xmlns:c16="http://schemas.microsoft.com/office/drawing/2014/chart" uri="{C3380CC4-5D6E-409C-BE32-E72D297353CC}">
              <c16:uniqueId val="{00000004-4B6F-48A3-A54C-54F94204758F}"/>
            </c:ext>
          </c:extLst>
        </c:ser>
        <c:ser>
          <c:idx val="5"/>
          <c:order val="5"/>
          <c:tx>
            <c:strRef>
              <c:f>'T 21b'!$V$18</c:f>
              <c:strCache>
                <c:ptCount val="1"/>
                <c:pt idx="0">
                  <c:v>100'000  - 199'999 Fr.</c:v>
                </c:pt>
              </c:strCache>
            </c:strRef>
          </c:tx>
          <c:spPr>
            <a:solidFill>
              <a:srgbClr val="E7D5D5"/>
            </a:solidFill>
          </c:spPr>
          <c:invertIfNegative val="0"/>
          <c:cat>
            <c:strRef>
              <c:f>'T 21b'!$P$21:$P$22</c:f>
              <c:strCache>
                <c:ptCount val="2"/>
                <c:pt idx="0">
                  <c:v>Pflichtige</c:v>
                </c:pt>
                <c:pt idx="1">
                  <c:v>Einkommenssteuer (100%)</c:v>
                </c:pt>
              </c:strCache>
            </c:strRef>
          </c:cat>
          <c:val>
            <c:numRef>
              <c:f>'T 21b'!$V$21:$V$22</c:f>
              <c:numCache>
                <c:formatCode>0.0%</c:formatCode>
                <c:ptCount val="2"/>
                <c:pt idx="0">
                  <c:v>0.12283841268507524</c:v>
                </c:pt>
                <c:pt idx="1">
                  <c:v>0.30242487791598022</c:v>
                </c:pt>
              </c:numCache>
            </c:numRef>
          </c:val>
          <c:extLst>
            <c:ext xmlns:c16="http://schemas.microsoft.com/office/drawing/2014/chart" uri="{C3380CC4-5D6E-409C-BE32-E72D297353CC}">
              <c16:uniqueId val="{00000005-4B6F-48A3-A54C-54F94204758F}"/>
            </c:ext>
          </c:extLst>
        </c:ser>
        <c:ser>
          <c:idx val="6"/>
          <c:order val="6"/>
          <c:tx>
            <c:strRef>
              <c:f>'T 21b'!$W$18</c:f>
              <c:strCache>
                <c:ptCount val="1"/>
                <c:pt idx="0">
                  <c:v>200'000 Fr. +</c:v>
                </c:pt>
              </c:strCache>
            </c:strRef>
          </c:tx>
          <c:spPr>
            <a:solidFill>
              <a:srgbClr val="D8BFB5"/>
            </a:solidFill>
          </c:spPr>
          <c:invertIfNegative val="0"/>
          <c:cat>
            <c:strRef>
              <c:f>'T 21b'!$P$21:$P$22</c:f>
              <c:strCache>
                <c:ptCount val="2"/>
                <c:pt idx="0">
                  <c:v>Pflichtige</c:v>
                </c:pt>
                <c:pt idx="1">
                  <c:v>Einkommenssteuer (100%)</c:v>
                </c:pt>
              </c:strCache>
            </c:strRef>
          </c:cat>
          <c:val>
            <c:numRef>
              <c:f>'T 21b'!$W$21:$W$22</c:f>
              <c:numCache>
                <c:formatCode>0.0%</c:formatCode>
                <c:ptCount val="2"/>
                <c:pt idx="0">
                  <c:v>2.1112620422314043E-2</c:v>
                </c:pt>
                <c:pt idx="1">
                  <c:v>0.17554530875120167</c:v>
                </c:pt>
              </c:numCache>
            </c:numRef>
          </c:val>
          <c:extLst>
            <c:ext xmlns:c16="http://schemas.microsoft.com/office/drawing/2014/chart" uri="{C3380CC4-5D6E-409C-BE32-E72D297353CC}">
              <c16:uniqueId val="{00000006-4B6F-48A3-A54C-54F94204758F}"/>
            </c:ext>
          </c:extLst>
        </c:ser>
        <c:dLbls>
          <c:showLegendKey val="0"/>
          <c:showVal val="0"/>
          <c:showCatName val="0"/>
          <c:showSerName val="0"/>
          <c:showPercent val="0"/>
          <c:showBubbleSize val="0"/>
        </c:dLbls>
        <c:gapWidth val="150"/>
        <c:overlap val="100"/>
        <c:serLines/>
        <c:axId val="57204096"/>
        <c:axId val="57222272"/>
      </c:barChart>
      <c:catAx>
        <c:axId val="5720409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7222272"/>
        <c:crosses val="autoZero"/>
        <c:auto val="1"/>
        <c:lblAlgn val="ctr"/>
        <c:lblOffset val="100"/>
        <c:noMultiLvlLbl val="0"/>
      </c:catAx>
      <c:valAx>
        <c:axId val="57222272"/>
        <c:scaling>
          <c:orientation val="minMax"/>
        </c:scaling>
        <c:delete val="0"/>
        <c:axPos val="l"/>
        <c:majorGridlines/>
        <c:title>
          <c:tx>
            <c:rich>
              <a:bodyPr rot="0" vert="horz"/>
              <a:lstStyle/>
              <a:p>
                <a:pPr>
                  <a:defRPr b="0">
                    <a:latin typeface="Arial" panose="020B0604020202020204" pitchFamily="34" charset="0"/>
                    <a:cs typeface="Arial" panose="020B0604020202020204" pitchFamily="34" charset="0"/>
                  </a:defRPr>
                </a:pPr>
                <a:r>
                  <a:rPr lang="de-CH" b="0">
                    <a:latin typeface="Arial" panose="020B0604020202020204" pitchFamily="34" charset="0"/>
                    <a:cs typeface="Arial" panose="020B0604020202020204" pitchFamily="34" charset="0"/>
                  </a:rPr>
                  <a:t>in</a:t>
                </a:r>
                <a:r>
                  <a:rPr lang="de-CH" b="0" baseline="0">
                    <a:latin typeface="Arial" panose="020B0604020202020204" pitchFamily="34" charset="0"/>
                    <a:cs typeface="Arial" panose="020B0604020202020204" pitchFamily="34" charset="0"/>
                  </a:rPr>
                  <a:t> Prozent</a:t>
                </a:r>
                <a:endParaRPr lang="de-CH" b="0">
                  <a:latin typeface="Arial" panose="020B0604020202020204" pitchFamily="34" charset="0"/>
                  <a:cs typeface="Arial" panose="020B0604020202020204" pitchFamily="34" charset="0"/>
                </a:endParaRPr>
              </a:p>
            </c:rich>
          </c:tx>
          <c:layout>
            <c:manualLayout>
              <c:xMode val="edge"/>
              <c:yMode val="edge"/>
              <c:x val="1.7420435510887771E-2"/>
              <c:y val="0.11155417155969388"/>
            </c:manualLayout>
          </c:layout>
          <c:overlay val="0"/>
        </c:title>
        <c:numFmt formatCode="0%"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7204096"/>
        <c:crosses val="autoZero"/>
        <c:crossBetween val="between"/>
      </c:valAx>
    </c:plotArea>
    <c:legend>
      <c:legendPos val="r"/>
      <c:layout>
        <c:manualLayout>
          <c:xMode val="edge"/>
          <c:yMode val="edge"/>
          <c:x val="0.78225163222675342"/>
          <c:y val="0.17588362641269956"/>
          <c:w val="0.18351706036745408"/>
          <c:h val="0.35151931552868276"/>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anose="020B0604020202020204" pitchFamily="34" charset="0"/>
                <a:cs typeface="Arial" panose="020B0604020202020204" pitchFamily="34" charset="0"/>
              </a:defRPr>
            </a:pPr>
            <a:r>
              <a:rPr lang="de-CH" sz="1400">
                <a:latin typeface="Arial" panose="020B0604020202020204" pitchFamily="34" charset="0"/>
                <a:cs typeface="Arial" panose="020B0604020202020204" pitchFamily="34" charset="0"/>
              </a:rPr>
              <a:t>Steuerpflichtige</a:t>
            </a:r>
            <a:r>
              <a:rPr lang="de-CH" sz="1400" baseline="0">
                <a:latin typeface="Arial" panose="020B0604020202020204" pitchFamily="34" charset="0"/>
                <a:cs typeface="Arial" panose="020B0604020202020204" pitchFamily="34" charset="0"/>
              </a:rPr>
              <a:t> und Vermögenssteuer nach Stufen des steuerbaren Vermögens, in Prozent, 2013</a:t>
            </a:r>
            <a:endParaRPr lang="de-CH" sz="1400">
              <a:latin typeface="Arial" panose="020B0604020202020204" pitchFamily="34" charset="0"/>
              <a:cs typeface="Arial" panose="020B0604020202020204" pitchFamily="34" charset="0"/>
            </a:endParaRPr>
          </a:p>
        </c:rich>
      </c:tx>
      <c:overlay val="0"/>
    </c:title>
    <c:autoTitleDeleted val="0"/>
    <c:plotArea>
      <c:layout>
        <c:manualLayout>
          <c:layoutTarget val="inner"/>
          <c:xMode val="edge"/>
          <c:yMode val="edge"/>
          <c:x val="7.8126652350274398E-2"/>
          <c:y val="0.18090738657667793"/>
          <c:w val="0.69010826373975975"/>
          <c:h val="0.75460959271982897"/>
        </c:manualLayout>
      </c:layout>
      <c:barChart>
        <c:barDir val="col"/>
        <c:grouping val="percentStacked"/>
        <c:varyColors val="0"/>
        <c:ser>
          <c:idx val="0"/>
          <c:order val="0"/>
          <c:tx>
            <c:strRef>
              <c:f>'T 22b'!$Q$17</c:f>
              <c:strCache>
                <c:ptCount val="1"/>
                <c:pt idx="0">
                  <c:v>0 Fr.</c:v>
                </c:pt>
              </c:strCache>
            </c:strRef>
          </c:tx>
          <c:spPr>
            <a:solidFill>
              <a:schemeClr val="tx1">
                <a:lumMod val="85000"/>
                <a:lumOff val="15000"/>
              </a:schemeClr>
            </a:solidFill>
          </c:spPr>
          <c:invertIfNegative val="0"/>
          <c:cat>
            <c:strRef>
              <c:f>'T 22b'!$P$20:$P$21</c:f>
              <c:strCache>
                <c:ptCount val="2"/>
                <c:pt idx="0">
                  <c:v>Pflichtige</c:v>
                </c:pt>
                <c:pt idx="1">
                  <c:v>Vermögenssteuer (100 %)</c:v>
                </c:pt>
              </c:strCache>
            </c:strRef>
          </c:cat>
          <c:val>
            <c:numRef>
              <c:f>'T 22b'!$Q$20:$Q$21</c:f>
              <c:numCache>
                <c:formatCode>0.0%</c:formatCode>
                <c:ptCount val="2"/>
                <c:pt idx="0">
                  <c:v>0.66855447946059587</c:v>
                </c:pt>
                <c:pt idx="1">
                  <c:v>0</c:v>
                </c:pt>
              </c:numCache>
            </c:numRef>
          </c:val>
          <c:extLst>
            <c:ext xmlns:c16="http://schemas.microsoft.com/office/drawing/2014/chart" uri="{C3380CC4-5D6E-409C-BE32-E72D297353CC}">
              <c16:uniqueId val="{00000000-E65A-410A-8B13-19F9F426FC29}"/>
            </c:ext>
          </c:extLst>
        </c:ser>
        <c:ser>
          <c:idx val="1"/>
          <c:order val="1"/>
          <c:tx>
            <c:strRef>
              <c:f>'T 22b'!$R$17</c:f>
              <c:strCache>
                <c:ptCount val="1"/>
                <c:pt idx="0">
                  <c:v>0.1                -  199'999 Fr.</c:v>
                </c:pt>
              </c:strCache>
            </c:strRef>
          </c:tx>
          <c:spPr>
            <a:solidFill>
              <a:schemeClr val="tx1">
                <a:lumMod val="75000"/>
                <a:lumOff val="25000"/>
              </a:schemeClr>
            </a:solidFill>
          </c:spPr>
          <c:invertIfNegative val="0"/>
          <c:cat>
            <c:strRef>
              <c:f>'T 22b'!$P$20:$P$21</c:f>
              <c:strCache>
                <c:ptCount val="2"/>
                <c:pt idx="0">
                  <c:v>Pflichtige</c:v>
                </c:pt>
                <c:pt idx="1">
                  <c:v>Vermögenssteuer (100 %)</c:v>
                </c:pt>
              </c:strCache>
            </c:strRef>
          </c:cat>
          <c:val>
            <c:numRef>
              <c:f>'T 22b'!$R$20:$R$21</c:f>
              <c:numCache>
                <c:formatCode>0.0%</c:formatCode>
                <c:ptCount val="2"/>
                <c:pt idx="0">
                  <c:v>0.13721795336333961</c:v>
                </c:pt>
                <c:pt idx="1">
                  <c:v>4.0408894205674631E-2</c:v>
                </c:pt>
              </c:numCache>
            </c:numRef>
          </c:val>
          <c:extLst>
            <c:ext xmlns:c16="http://schemas.microsoft.com/office/drawing/2014/chart" uri="{C3380CC4-5D6E-409C-BE32-E72D297353CC}">
              <c16:uniqueId val="{00000001-E65A-410A-8B13-19F9F426FC29}"/>
            </c:ext>
          </c:extLst>
        </c:ser>
        <c:ser>
          <c:idx val="2"/>
          <c:order val="2"/>
          <c:tx>
            <c:strRef>
              <c:f>'T 22b'!$S$17</c:f>
              <c:strCache>
                <c:ptCount val="1"/>
                <c:pt idx="0">
                  <c:v>200'000       -  499'999 Fr.</c:v>
                </c:pt>
              </c:strCache>
            </c:strRef>
          </c:tx>
          <c:spPr>
            <a:solidFill>
              <a:schemeClr val="bg1">
                <a:lumMod val="50000"/>
              </a:schemeClr>
            </a:solidFill>
          </c:spPr>
          <c:invertIfNegative val="0"/>
          <c:cat>
            <c:strRef>
              <c:f>'T 22b'!$P$20:$P$21</c:f>
              <c:strCache>
                <c:ptCount val="2"/>
                <c:pt idx="0">
                  <c:v>Pflichtige</c:v>
                </c:pt>
                <c:pt idx="1">
                  <c:v>Vermögenssteuer (100 %)</c:v>
                </c:pt>
              </c:strCache>
            </c:strRef>
          </c:cat>
          <c:val>
            <c:numRef>
              <c:f>'T 22b'!$S$20:$S$21</c:f>
              <c:numCache>
                <c:formatCode>0.0%</c:formatCode>
                <c:ptCount val="2"/>
                <c:pt idx="0">
                  <c:v>9.0216777247760713E-2</c:v>
                </c:pt>
                <c:pt idx="1">
                  <c:v>0.11825263325405322</c:v>
                </c:pt>
              </c:numCache>
            </c:numRef>
          </c:val>
          <c:extLst>
            <c:ext xmlns:c16="http://schemas.microsoft.com/office/drawing/2014/chart" uri="{C3380CC4-5D6E-409C-BE32-E72D297353CC}">
              <c16:uniqueId val="{00000002-E65A-410A-8B13-19F9F426FC29}"/>
            </c:ext>
          </c:extLst>
        </c:ser>
        <c:ser>
          <c:idx val="3"/>
          <c:order val="3"/>
          <c:tx>
            <c:strRef>
              <c:f>'T 22b'!$T$17</c:f>
              <c:strCache>
                <c:ptCount val="1"/>
                <c:pt idx="0">
                  <c:v>500'000       -  999'999 Fr.</c:v>
                </c:pt>
              </c:strCache>
            </c:strRef>
          </c:tx>
          <c:spPr>
            <a:solidFill>
              <a:srgbClr val="7F6E51"/>
            </a:solidFill>
          </c:spPr>
          <c:invertIfNegative val="0"/>
          <c:cat>
            <c:strRef>
              <c:f>'T 22b'!$P$20:$P$21</c:f>
              <c:strCache>
                <c:ptCount val="2"/>
                <c:pt idx="0">
                  <c:v>Pflichtige</c:v>
                </c:pt>
                <c:pt idx="1">
                  <c:v>Vermögenssteuer (100 %)</c:v>
                </c:pt>
              </c:strCache>
            </c:strRef>
          </c:cat>
          <c:val>
            <c:numRef>
              <c:f>'T 22b'!$T$20:$T$21</c:f>
              <c:numCache>
                <c:formatCode>0.0%</c:formatCode>
                <c:ptCount val="2"/>
                <c:pt idx="0">
                  <c:v>5.8801040529958985E-2</c:v>
                </c:pt>
                <c:pt idx="1">
                  <c:v>0.18447634914134425</c:v>
                </c:pt>
              </c:numCache>
            </c:numRef>
          </c:val>
          <c:extLst>
            <c:ext xmlns:c16="http://schemas.microsoft.com/office/drawing/2014/chart" uri="{C3380CC4-5D6E-409C-BE32-E72D297353CC}">
              <c16:uniqueId val="{00000003-E65A-410A-8B13-19F9F426FC29}"/>
            </c:ext>
          </c:extLst>
        </c:ser>
        <c:ser>
          <c:idx val="4"/>
          <c:order val="4"/>
          <c:tx>
            <c:strRef>
              <c:f>'T 22b'!$U$17</c:f>
              <c:strCache>
                <c:ptCount val="1"/>
                <c:pt idx="0">
                  <c:v>1'000'000    -  1'999'999 Fr.</c:v>
                </c:pt>
              </c:strCache>
            </c:strRef>
          </c:tx>
          <c:spPr>
            <a:solidFill>
              <a:srgbClr val="ACB074"/>
            </a:solidFill>
          </c:spPr>
          <c:invertIfNegative val="0"/>
          <c:cat>
            <c:strRef>
              <c:f>'T 22b'!$P$20:$P$21</c:f>
              <c:strCache>
                <c:ptCount val="2"/>
                <c:pt idx="0">
                  <c:v>Pflichtige</c:v>
                </c:pt>
                <c:pt idx="1">
                  <c:v>Vermögenssteuer (100 %)</c:v>
                </c:pt>
              </c:strCache>
            </c:strRef>
          </c:cat>
          <c:val>
            <c:numRef>
              <c:f>'T 22b'!$U$20:$U$21</c:f>
              <c:numCache>
                <c:formatCode>0.0%</c:formatCode>
                <c:ptCount val="2"/>
                <c:pt idx="0">
                  <c:v>3.0053064475646148E-2</c:v>
                </c:pt>
                <c:pt idx="1">
                  <c:v>0.20999099270641927</c:v>
                </c:pt>
              </c:numCache>
            </c:numRef>
          </c:val>
          <c:extLst>
            <c:ext xmlns:c16="http://schemas.microsoft.com/office/drawing/2014/chart" uri="{C3380CC4-5D6E-409C-BE32-E72D297353CC}">
              <c16:uniqueId val="{00000004-E65A-410A-8B13-19F9F426FC29}"/>
            </c:ext>
          </c:extLst>
        </c:ser>
        <c:ser>
          <c:idx val="5"/>
          <c:order val="5"/>
          <c:tx>
            <c:strRef>
              <c:f>'T 22b'!$V$17</c:f>
              <c:strCache>
                <c:ptCount val="1"/>
                <c:pt idx="0">
                  <c:v>2'000'000 Fr. +</c:v>
                </c:pt>
              </c:strCache>
            </c:strRef>
          </c:tx>
          <c:spPr>
            <a:solidFill>
              <a:srgbClr val="E7D5D5"/>
            </a:solidFill>
          </c:spPr>
          <c:invertIfNegative val="0"/>
          <c:cat>
            <c:strRef>
              <c:f>'T 22b'!$P$20:$P$21</c:f>
              <c:strCache>
                <c:ptCount val="2"/>
                <c:pt idx="0">
                  <c:v>Pflichtige</c:v>
                </c:pt>
                <c:pt idx="1">
                  <c:v>Vermögenssteuer (100 %)</c:v>
                </c:pt>
              </c:strCache>
            </c:strRef>
          </c:cat>
          <c:val>
            <c:numRef>
              <c:f>'T 22b'!$V$20:$V$21</c:f>
              <c:numCache>
                <c:formatCode>0.0%</c:formatCode>
                <c:ptCount val="2"/>
                <c:pt idx="0">
                  <c:v>1.5156684922698734E-2</c:v>
                </c:pt>
                <c:pt idx="1">
                  <c:v>0.44687113069250856</c:v>
                </c:pt>
              </c:numCache>
            </c:numRef>
          </c:val>
          <c:extLst>
            <c:ext xmlns:c16="http://schemas.microsoft.com/office/drawing/2014/chart" uri="{C3380CC4-5D6E-409C-BE32-E72D297353CC}">
              <c16:uniqueId val="{00000005-E65A-410A-8B13-19F9F426FC29}"/>
            </c:ext>
          </c:extLst>
        </c:ser>
        <c:dLbls>
          <c:showLegendKey val="0"/>
          <c:showVal val="0"/>
          <c:showCatName val="0"/>
          <c:showSerName val="0"/>
          <c:showPercent val="0"/>
          <c:showBubbleSize val="0"/>
        </c:dLbls>
        <c:gapWidth val="150"/>
        <c:overlap val="100"/>
        <c:serLines/>
        <c:axId val="57310592"/>
        <c:axId val="57336960"/>
      </c:barChart>
      <c:catAx>
        <c:axId val="5731059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7336960"/>
        <c:crosses val="autoZero"/>
        <c:auto val="1"/>
        <c:lblAlgn val="ctr"/>
        <c:lblOffset val="100"/>
        <c:noMultiLvlLbl val="0"/>
      </c:catAx>
      <c:valAx>
        <c:axId val="57336960"/>
        <c:scaling>
          <c:orientation val="minMax"/>
        </c:scaling>
        <c:delete val="0"/>
        <c:axPos val="l"/>
        <c:majorGridlines/>
        <c:title>
          <c:tx>
            <c:rich>
              <a:bodyPr rot="0" vert="horz"/>
              <a:lstStyle/>
              <a:p>
                <a:pPr>
                  <a:defRPr b="0">
                    <a:latin typeface="Arial" panose="020B0604020202020204" pitchFamily="34" charset="0"/>
                    <a:cs typeface="Arial" panose="020B0604020202020204" pitchFamily="34" charset="0"/>
                  </a:defRPr>
                </a:pPr>
                <a:r>
                  <a:rPr lang="de-CH" b="0">
                    <a:latin typeface="Arial" panose="020B0604020202020204" pitchFamily="34" charset="0"/>
                    <a:cs typeface="Arial" panose="020B0604020202020204" pitchFamily="34" charset="0"/>
                  </a:rPr>
                  <a:t>in</a:t>
                </a:r>
                <a:r>
                  <a:rPr lang="de-CH" b="0" baseline="0">
                    <a:latin typeface="Arial" panose="020B0604020202020204" pitchFamily="34" charset="0"/>
                    <a:cs typeface="Arial" panose="020B0604020202020204" pitchFamily="34" charset="0"/>
                  </a:rPr>
                  <a:t> Prozent</a:t>
                </a:r>
                <a:endParaRPr lang="de-CH" b="0">
                  <a:latin typeface="Arial" panose="020B0604020202020204" pitchFamily="34" charset="0"/>
                  <a:cs typeface="Arial" panose="020B0604020202020204" pitchFamily="34" charset="0"/>
                </a:endParaRPr>
              </a:p>
            </c:rich>
          </c:tx>
          <c:layout>
            <c:manualLayout>
              <c:xMode val="edge"/>
              <c:yMode val="edge"/>
              <c:x val="2.4242434811927574E-2"/>
              <c:y val="0.10969223441664387"/>
            </c:manualLayout>
          </c:layout>
          <c:overlay val="0"/>
        </c:title>
        <c:numFmt formatCode="0%"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7310592"/>
        <c:crosses val="autoZero"/>
        <c:crossBetween val="between"/>
      </c:valAx>
    </c:plotArea>
    <c:legend>
      <c:legendPos val="r"/>
      <c:layout>
        <c:manualLayout>
          <c:xMode val="edge"/>
          <c:yMode val="edge"/>
          <c:x val="0.79021157239066042"/>
          <c:y val="0.18626840563848437"/>
          <c:w val="0.19644037222619901"/>
          <c:h val="0.26352476210743925"/>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0-38B4-4321-B562-982B1CF82BB5}"/>
            </c:ext>
          </c:extLst>
        </c:ser>
        <c:ser>
          <c:idx val="1"/>
          <c:order val="1"/>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1-38B4-4321-B562-982B1CF82BB5}"/>
            </c:ext>
          </c:extLst>
        </c:ser>
        <c:ser>
          <c:idx val="2"/>
          <c:order val="2"/>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2-38B4-4321-B562-982B1CF82BB5}"/>
            </c:ext>
          </c:extLst>
        </c:ser>
        <c:ser>
          <c:idx val="3"/>
          <c:order val="3"/>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3-38B4-4321-B562-982B1CF82BB5}"/>
            </c:ext>
          </c:extLst>
        </c:ser>
        <c:ser>
          <c:idx val="4"/>
          <c:order val="4"/>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4-38B4-4321-B562-982B1CF82BB5}"/>
            </c:ext>
          </c:extLst>
        </c:ser>
        <c:ser>
          <c:idx val="5"/>
          <c:order val="5"/>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5-38B4-4321-B562-982B1CF82BB5}"/>
            </c:ext>
          </c:extLst>
        </c:ser>
        <c:ser>
          <c:idx val="6"/>
          <c:order val="6"/>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6-38B4-4321-B562-982B1CF82BB5}"/>
            </c:ext>
          </c:extLst>
        </c:ser>
        <c:ser>
          <c:idx val="7"/>
          <c:order val="7"/>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7-38B4-4321-B562-982B1CF82BB5}"/>
            </c:ext>
          </c:extLst>
        </c:ser>
        <c:ser>
          <c:idx val="8"/>
          <c:order val="8"/>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8-38B4-4321-B562-982B1CF82BB5}"/>
            </c:ext>
          </c:extLst>
        </c:ser>
        <c:ser>
          <c:idx val="9"/>
          <c:order val="9"/>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9-38B4-4321-B562-982B1CF82BB5}"/>
            </c:ext>
          </c:extLst>
        </c:ser>
        <c:ser>
          <c:idx val="10"/>
          <c:order val="10"/>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A-38B4-4321-B562-982B1CF82BB5}"/>
            </c:ext>
          </c:extLst>
        </c:ser>
        <c:ser>
          <c:idx val="11"/>
          <c:order val="11"/>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B-38B4-4321-B562-982B1CF82BB5}"/>
            </c:ext>
          </c:extLst>
        </c:ser>
        <c:ser>
          <c:idx val="12"/>
          <c:order val="12"/>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C-38B4-4321-B562-982B1CF82BB5}"/>
            </c:ext>
          </c:extLst>
        </c:ser>
        <c:ser>
          <c:idx val="13"/>
          <c:order val="13"/>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D-38B4-4321-B562-982B1CF82BB5}"/>
            </c:ext>
          </c:extLst>
        </c:ser>
        <c:dLbls>
          <c:showLegendKey val="0"/>
          <c:showVal val="0"/>
          <c:showCatName val="0"/>
          <c:showSerName val="0"/>
          <c:showPercent val="0"/>
          <c:showBubbleSize val="0"/>
        </c:dLbls>
        <c:gapWidth val="150"/>
        <c:axId val="57724928"/>
        <c:axId val="57726464"/>
      </c:barChart>
      <c:catAx>
        <c:axId val="57724928"/>
        <c:scaling>
          <c:orientation val="minMax"/>
        </c:scaling>
        <c:delete val="0"/>
        <c:axPos val="b"/>
        <c:numFmt formatCode="General" sourceLinked="1"/>
        <c:majorTickMark val="out"/>
        <c:minorTickMark val="none"/>
        <c:tickLblPos val="nextTo"/>
        <c:crossAx val="57726464"/>
        <c:crosses val="autoZero"/>
        <c:auto val="1"/>
        <c:lblAlgn val="ctr"/>
        <c:lblOffset val="100"/>
        <c:noMultiLvlLbl val="0"/>
      </c:catAx>
      <c:valAx>
        <c:axId val="57726464"/>
        <c:scaling>
          <c:orientation val="minMax"/>
        </c:scaling>
        <c:delete val="0"/>
        <c:axPos val="l"/>
        <c:majorGridlines/>
        <c:numFmt formatCode="General" sourceLinked="1"/>
        <c:majorTickMark val="out"/>
        <c:minorTickMark val="none"/>
        <c:tickLblPos val="nextTo"/>
        <c:crossAx val="57724928"/>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Arial" panose="020B0604020202020204" pitchFamily="34" charset="0"/>
                <a:cs typeface="Arial" panose="020B0604020202020204" pitchFamily="34" charset="0"/>
              </a:defRPr>
            </a:pPr>
            <a:r>
              <a:rPr lang="de-CH" sz="1400">
                <a:latin typeface="Arial" panose="020B0604020202020204" pitchFamily="34" charset="0"/>
                <a:cs typeface="Arial" panose="020B0604020202020204" pitchFamily="34" charset="0"/>
              </a:rPr>
              <a:t>Vermögens- und Einkommenssteuer von Pflichtigen mit Wohnsitz im Kanton Aargau, in Millionen Franken, </a:t>
            </a:r>
            <a:r>
              <a:rPr lang="de-CH" sz="1400" b="1" i="0" u="none" strike="noStrike" baseline="0">
                <a:effectLst/>
              </a:rPr>
              <a:t>2001 – 2013</a:t>
            </a:r>
            <a:endParaRPr lang="de-CH" sz="1400">
              <a:latin typeface="Arial" panose="020B0604020202020204" pitchFamily="34" charset="0"/>
              <a:cs typeface="Arial" panose="020B0604020202020204" pitchFamily="34" charset="0"/>
            </a:endParaRPr>
          </a:p>
        </c:rich>
      </c:tx>
      <c:overlay val="0"/>
    </c:title>
    <c:autoTitleDeleted val="0"/>
    <c:plotArea>
      <c:layout>
        <c:manualLayout>
          <c:layoutTarget val="inner"/>
          <c:xMode val="edge"/>
          <c:yMode val="edge"/>
          <c:x val="8.1576001174063953E-2"/>
          <c:y val="0.20014299816608092"/>
          <c:w val="0.69410302411323732"/>
          <c:h val="0.69012211006538604"/>
        </c:manualLayout>
      </c:layout>
      <c:lineChart>
        <c:grouping val="standard"/>
        <c:varyColors val="0"/>
        <c:ser>
          <c:idx val="2"/>
          <c:order val="0"/>
          <c:tx>
            <c:strRef>
              <c:f>'T 26a'!$E$3</c:f>
              <c:strCache>
                <c:ptCount val="1"/>
                <c:pt idx="0">
                  <c:v>Total Steuer</c:v>
                </c:pt>
              </c:strCache>
            </c:strRef>
          </c:tx>
          <c:spPr>
            <a:ln>
              <a:solidFill>
                <a:srgbClr val="404040"/>
              </a:solidFill>
            </a:ln>
          </c:spPr>
          <c:marker>
            <c:symbol val="none"/>
          </c:marker>
          <c:cat>
            <c:numRef>
              <c:f>'T 26a'!$B$5:$B$17</c:f>
              <c:numCache>
                <c:formatCode>0_ ;\-0\ </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'T 26a'!$E$5:$E$17</c:f>
              <c:numCache>
                <c:formatCode>_ * #,##0_ ;_ * \-#,##0_ ;_ * "-"??_ ;_ @_ </c:formatCode>
                <c:ptCount val="13"/>
                <c:pt idx="0">
                  <c:v>1042.8778309655154</c:v>
                </c:pt>
                <c:pt idx="1">
                  <c:v>995.29748159082283</c:v>
                </c:pt>
                <c:pt idx="2">
                  <c:v>1014.313227621624</c:v>
                </c:pt>
                <c:pt idx="3">
                  <c:v>1038.5666458372664</c:v>
                </c:pt>
                <c:pt idx="4">
                  <c:v>1076.7011166278583</c:v>
                </c:pt>
                <c:pt idx="5">
                  <c:v>1120.4897105060675</c:v>
                </c:pt>
                <c:pt idx="6">
                  <c:v>1169.4041441216875</c:v>
                </c:pt>
                <c:pt idx="7">
                  <c:v>1206.8637756582737</c:v>
                </c:pt>
                <c:pt idx="8">
                  <c:v>1190.3909214424823</c:v>
                </c:pt>
                <c:pt idx="9">
                  <c:v>1229.442279694744</c:v>
                </c:pt>
                <c:pt idx="10">
                  <c:v>1277.3808290952745</c:v>
                </c:pt>
                <c:pt idx="11">
                  <c:v>1317.4814359554491</c:v>
                </c:pt>
                <c:pt idx="12">
                  <c:v>1357.2769922808741</c:v>
                </c:pt>
              </c:numCache>
            </c:numRef>
          </c:val>
          <c:smooth val="1"/>
          <c:extLst>
            <c:ext xmlns:c16="http://schemas.microsoft.com/office/drawing/2014/chart" uri="{C3380CC4-5D6E-409C-BE32-E72D297353CC}">
              <c16:uniqueId val="{00000000-314F-4DDB-B93F-FEE9681E23BC}"/>
            </c:ext>
          </c:extLst>
        </c:ser>
        <c:ser>
          <c:idx val="0"/>
          <c:order val="1"/>
          <c:tx>
            <c:strRef>
              <c:f>'T 26a'!$C$3</c:f>
              <c:strCache>
                <c:ptCount val="1"/>
                <c:pt idx="0">
                  <c:v>Einkommenssteuer</c:v>
                </c:pt>
              </c:strCache>
            </c:strRef>
          </c:tx>
          <c:spPr>
            <a:ln>
              <a:solidFill>
                <a:srgbClr val="E0E3BF"/>
              </a:solidFill>
            </a:ln>
          </c:spPr>
          <c:marker>
            <c:symbol val="none"/>
          </c:marker>
          <c:cat>
            <c:numRef>
              <c:f>'T 26a'!$B$5:$B$17</c:f>
              <c:numCache>
                <c:formatCode>0_ ;\-0\ </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'T 26a'!$C$5:$C$17</c:f>
              <c:numCache>
                <c:formatCode>_ * #,##0_ ;_ * \-#,##0_ ;_ * "-"??_ ;_ @_ </c:formatCode>
                <c:ptCount val="13"/>
                <c:pt idx="0">
                  <c:v>931.95146932514001</c:v>
                </c:pt>
                <c:pt idx="1">
                  <c:v>886.800793282168</c:v>
                </c:pt>
                <c:pt idx="2">
                  <c:v>898.86829859739555</c:v>
                </c:pt>
                <c:pt idx="3">
                  <c:v>922.07222185249259</c:v>
                </c:pt>
                <c:pt idx="4">
                  <c:v>950.77996779256625</c:v>
                </c:pt>
                <c:pt idx="5">
                  <c:v>987.7252907640061</c:v>
                </c:pt>
                <c:pt idx="6">
                  <c:v>1034.5189925775421</c:v>
                </c:pt>
                <c:pt idx="7">
                  <c:v>1086.8349006562958</c:v>
                </c:pt>
                <c:pt idx="8">
                  <c:v>1077.6264891524002</c:v>
                </c:pt>
                <c:pt idx="9">
                  <c:v>1114.1252979947608</c:v>
                </c:pt>
                <c:pt idx="10">
                  <c:v>1156.6068096830309</c:v>
                </c:pt>
                <c:pt idx="11">
                  <c:v>1188.4815323994578</c:v>
                </c:pt>
                <c:pt idx="12">
                  <c:v>1220.7927564478773</c:v>
                </c:pt>
              </c:numCache>
            </c:numRef>
          </c:val>
          <c:smooth val="1"/>
          <c:extLst>
            <c:ext xmlns:c16="http://schemas.microsoft.com/office/drawing/2014/chart" uri="{C3380CC4-5D6E-409C-BE32-E72D297353CC}">
              <c16:uniqueId val="{00000001-314F-4DDB-B93F-FEE9681E23BC}"/>
            </c:ext>
          </c:extLst>
        </c:ser>
        <c:ser>
          <c:idx val="1"/>
          <c:order val="2"/>
          <c:tx>
            <c:strRef>
              <c:f>'T 26a'!$D$3</c:f>
              <c:strCache>
                <c:ptCount val="1"/>
                <c:pt idx="0">
                  <c:v>Vermögenssteuer</c:v>
                </c:pt>
              </c:strCache>
            </c:strRef>
          </c:tx>
          <c:spPr>
            <a:ln>
              <a:solidFill>
                <a:srgbClr val="7F6E51"/>
              </a:solidFill>
            </a:ln>
          </c:spPr>
          <c:marker>
            <c:symbol val="none"/>
          </c:marker>
          <c:cat>
            <c:numRef>
              <c:f>'T 26a'!$B$5:$B$17</c:f>
              <c:numCache>
                <c:formatCode>0_ ;\-0\ </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'T 26a'!$D$5:$D$17</c:f>
              <c:numCache>
                <c:formatCode>_ * #,##0_ ;_ * \-#,##0_ ;_ * "-"??_ ;_ @_ </c:formatCode>
                <c:ptCount val="13"/>
                <c:pt idx="0">
                  <c:v>110.92636164037542</c:v>
                </c:pt>
                <c:pt idx="1">
                  <c:v>108.49668830865483</c:v>
                </c:pt>
                <c:pt idx="2">
                  <c:v>115.44492902422844</c:v>
                </c:pt>
                <c:pt idx="3">
                  <c:v>116.4944239847737</c:v>
                </c:pt>
                <c:pt idx="4">
                  <c:v>125.92114883529182</c:v>
                </c:pt>
                <c:pt idx="5">
                  <c:v>132.76441974206148</c:v>
                </c:pt>
                <c:pt idx="6">
                  <c:v>134.88515154414526</c:v>
                </c:pt>
                <c:pt idx="7">
                  <c:v>120.02887500197799</c:v>
                </c:pt>
                <c:pt idx="8">
                  <c:v>112.7644322900819</c:v>
                </c:pt>
                <c:pt idx="9">
                  <c:v>115.31698169998326</c:v>
                </c:pt>
                <c:pt idx="10">
                  <c:v>120.77401941225111</c:v>
                </c:pt>
                <c:pt idx="11">
                  <c:v>128.99990355598027</c:v>
                </c:pt>
                <c:pt idx="12">
                  <c:v>136.48423583297034</c:v>
                </c:pt>
              </c:numCache>
            </c:numRef>
          </c:val>
          <c:smooth val="1"/>
          <c:extLst>
            <c:ext xmlns:c16="http://schemas.microsoft.com/office/drawing/2014/chart" uri="{C3380CC4-5D6E-409C-BE32-E72D297353CC}">
              <c16:uniqueId val="{00000002-314F-4DDB-B93F-FEE9681E23BC}"/>
            </c:ext>
          </c:extLst>
        </c:ser>
        <c:dLbls>
          <c:showLegendKey val="0"/>
          <c:showVal val="0"/>
          <c:showCatName val="0"/>
          <c:showSerName val="0"/>
          <c:showPercent val="0"/>
          <c:showBubbleSize val="0"/>
        </c:dLbls>
        <c:smooth val="0"/>
        <c:axId val="57945472"/>
        <c:axId val="57988224"/>
      </c:lineChart>
      <c:catAx>
        <c:axId val="57945472"/>
        <c:scaling>
          <c:orientation val="minMax"/>
        </c:scaling>
        <c:delete val="0"/>
        <c:axPos val="b"/>
        <c:numFmt formatCode="0_ ;\-0\ "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7988224"/>
        <c:crosses val="autoZero"/>
        <c:auto val="1"/>
        <c:lblAlgn val="ctr"/>
        <c:lblOffset val="100"/>
        <c:noMultiLvlLbl val="1"/>
      </c:catAx>
      <c:valAx>
        <c:axId val="57988224"/>
        <c:scaling>
          <c:orientation val="minMax"/>
        </c:scaling>
        <c:delete val="0"/>
        <c:axPos val="l"/>
        <c:majorGridlines/>
        <c:title>
          <c:tx>
            <c:rich>
              <a:bodyPr rot="0" vert="horz"/>
              <a:lstStyle/>
              <a:p>
                <a:pPr>
                  <a:defRPr b="0">
                    <a:latin typeface="Arial" panose="020B0604020202020204" pitchFamily="34" charset="0"/>
                    <a:cs typeface="Arial" panose="020B0604020202020204" pitchFamily="34" charset="0"/>
                  </a:defRPr>
                </a:pPr>
                <a:r>
                  <a:rPr lang="de-CH" b="0">
                    <a:latin typeface="Arial" panose="020B0604020202020204" pitchFamily="34" charset="0"/>
                    <a:cs typeface="Arial" panose="020B0604020202020204" pitchFamily="34" charset="0"/>
                  </a:rPr>
                  <a:t>in</a:t>
                </a:r>
                <a:r>
                  <a:rPr lang="de-CH" b="0" baseline="0">
                    <a:latin typeface="Arial" panose="020B0604020202020204" pitchFamily="34" charset="0"/>
                    <a:cs typeface="Arial" panose="020B0604020202020204" pitchFamily="34" charset="0"/>
                  </a:rPr>
                  <a:t> Mio. Franken</a:t>
                </a:r>
                <a:endParaRPr lang="de-CH" b="0">
                  <a:latin typeface="Arial" panose="020B0604020202020204" pitchFamily="34" charset="0"/>
                  <a:cs typeface="Arial" panose="020B0604020202020204" pitchFamily="34" charset="0"/>
                </a:endParaRPr>
              </a:p>
            </c:rich>
          </c:tx>
          <c:layout>
            <c:manualLayout>
              <c:xMode val="edge"/>
              <c:yMode val="edge"/>
              <c:x val="2.5865296362494565E-2"/>
              <c:y val="0.12867091628991043"/>
            </c:manualLayout>
          </c:layout>
          <c:overlay val="0"/>
        </c:title>
        <c:numFmt formatCode="_ * #,##0_ ;_ * \-#,##0_ ;_ * &quot;-&quot;??_ ;_ @_ "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7945472"/>
        <c:crosses val="autoZero"/>
        <c:crossBetween val="midCat"/>
      </c:valAx>
    </c:plotArea>
    <c:legend>
      <c:legendPos val="r"/>
      <c:layout>
        <c:manualLayout>
          <c:xMode val="edge"/>
          <c:yMode val="edge"/>
          <c:x val="0.79980220616203868"/>
          <c:y val="0.22127148960500062"/>
          <c:w val="0.17726993865030674"/>
          <c:h val="0.14042959932432286"/>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anose="020B0604020202020204" pitchFamily="34" charset="0"/>
                <a:cs typeface="Arial" panose="020B0604020202020204" pitchFamily="34" charset="0"/>
              </a:defRPr>
            </a:pPr>
            <a:r>
              <a:rPr lang="de-CH" sz="1400">
                <a:latin typeface="Arial" panose="020B0604020202020204" pitchFamily="34" charset="0"/>
                <a:cs typeface="Arial" panose="020B0604020202020204" pitchFamily="34" charset="0"/>
              </a:rPr>
              <a:t>Entwicklung</a:t>
            </a:r>
            <a:r>
              <a:rPr lang="de-CH" sz="1400" baseline="0">
                <a:latin typeface="Arial" panose="020B0604020202020204" pitchFamily="34" charset="0"/>
                <a:cs typeface="Arial" panose="020B0604020202020204" pitchFamily="34" charset="0"/>
              </a:rPr>
              <a:t> der Pflichtigen, des Reineinkommens und Reinvermögens sowie der einfachen Kantonssteuer (indexiert), 2001 </a:t>
            </a:r>
            <a:r>
              <a:rPr lang="de-CH" sz="1200" b="1" i="0" u="none" strike="noStrike" baseline="0">
                <a:effectLst/>
              </a:rPr>
              <a:t>–</a:t>
            </a:r>
            <a:r>
              <a:rPr lang="de-CH" sz="1400" baseline="0">
                <a:latin typeface="Arial" panose="020B0604020202020204" pitchFamily="34" charset="0"/>
                <a:cs typeface="Arial" panose="020B0604020202020204" pitchFamily="34" charset="0"/>
              </a:rPr>
              <a:t> 2013</a:t>
            </a:r>
            <a:endParaRPr lang="de-CH" sz="1400">
              <a:latin typeface="Arial" panose="020B0604020202020204" pitchFamily="34" charset="0"/>
              <a:cs typeface="Arial" panose="020B0604020202020204" pitchFamily="34" charset="0"/>
            </a:endParaRPr>
          </a:p>
        </c:rich>
      </c:tx>
      <c:overlay val="0"/>
    </c:title>
    <c:autoTitleDeleted val="0"/>
    <c:plotArea>
      <c:layout>
        <c:manualLayout>
          <c:layoutTarget val="inner"/>
          <c:xMode val="edge"/>
          <c:yMode val="edge"/>
          <c:x val="5.4900041700394919E-2"/>
          <c:y val="0.21618060922756185"/>
          <c:w val="0.69629296994905865"/>
          <c:h val="0.71122320424248175"/>
        </c:manualLayout>
      </c:layout>
      <c:lineChart>
        <c:grouping val="standard"/>
        <c:varyColors val="0"/>
        <c:ser>
          <c:idx val="0"/>
          <c:order val="0"/>
          <c:tx>
            <c:strRef>
              <c:f>'T 26b'!$Q$20</c:f>
              <c:strCache>
                <c:ptCount val="1"/>
                <c:pt idx="0">
                  <c:v>Pflichtige</c:v>
                </c:pt>
              </c:strCache>
            </c:strRef>
          </c:tx>
          <c:spPr>
            <a:ln>
              <a:solidFill>
                <a:srgbClr val="D8BFB5"/>
              </a:solidFill>
            </a:ln>
          </c:spPr>
          <c:marker>
            <c:symbol val="none"/>
          </c:marker>
          <c:cat>
            <c:numRef>
              <c:f>'T 26b'!$P$21:$P$33</c:f>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'T 26b'!$Q$21:$Q$33</c:f>
              <c:numCache>
                <c:formatCode>0</c:formatCode>
                <c:ptCount val="13"/>
                <c:pt idx="0" formatCode="General">
                  <c:v>100</c:v>
                </c:pt>
                <c:pt idx="1">
                  <c:v>101.54142641691483</c:v>
                </c:pt>
                <c:pt idx="2">
                  <c:v>103.33672755559809</c:v>
                </c:pt>
                <c:pt idx="3">
                  <c:v>104.97780826619727</c:v>
                </c:pt>
                <c:pt idx="4">
                  <c:v>106.50311809206954</c:v>
                </c:pt>
                <c:pt idx="5">
                  <c:v>107.99648440109466</c:v>
                </c:pt>
                <c:pt idx="6">
                  <c:v>109.59953165494456</c:v>
                </c:pt>
                <c:pt idx="7">
                  <c:v>111.14945790770585</c:v>
                </c:pt>
                <c:pt idx="8">
                  <c:v>113.122915160912</c:v>
                </c:pt>
                <c:pt idx="9">
                  <c:v>115.14416520782009</c:v>
                </c:pt>
                <c:pt idx="10">
                  <c:v>116.95773722488624</c:v>
                </c:pt>
                <c:pt idx="11">
                  <c:v>118.90995380706597</c:v>
                </c:pt>
                <c:pt idx="12">
                  <c:v>120.72537472202092</c:v>
                </c:pt>
              </c:numCache>
            </c:numRef>
          </c:val>
          <c:smooth val="0"/>
          <c:extLst>
            <c:ext xmlns:c16="http://schemas.microsoft.com/office/drawing/2014/chart" uri="{C3380CC4-5D6E-409C-BE32-E72D297353CC}">
              <c16:uniqueId val="{00000000-860F-4700-A870-21D5E7844D26}"/>
            </c:ext>
          </c:extLst>
        </c:ser>
        <c:ser>
          <c:idx val="1"/>
          <c:order val="1"/>
          <c:tx>
            <c:strRef>
              <c:f>'T 26b'!$R$20</c:f>
              <c:strCache>
                <c:ptCount val="1"/>
                <c:pt idx="0">
                  <c:v>Reineinkommen</c:v>
                </c:pt>
              </c:strCache>
            </c:strRef>
          </c:tx>
          <c:spPr>
            <a:ln>
              <a:solidFill>
                <a:srgbClr val="EEE5CE"/>
              </a:solidFill>
            </a:ln>
          </c:spPr>
          <c:marker>
            <c:symbol val="none"/>
          </c:marker>
          <c:cat>
            <c:numRef>
              <c:f>'T 26b'!$P$21:$P$33</c:f>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'T 26b'!$R$21:$R$33</c:f>
              <c:numCache>
                <c:formatCode>0</c:formatCode>
                <c:ptCount val="13"/>
                <c:pt idx="0" formatCode="General">
                  <c:v>100</c:v>
                </c:pt>
                <c:pt idx="1">
                  <c:v>101.77161514465232</c:v>
                </c:pt>
                <c:pt idx="2">
                  <c:v>102.91184166216784</c:v>
                </c:pt>
                <c:pt idx="3">
                  <c:v>105.06644932735281</c:v>
                </c:pt>
                <c:pt idx="4">
                  <c:v>107.27654495640869</c:v>
                </c:pt>
                <c:pt idx="5">
                  <c:v>110.05102589866536</c:v>
                </c:pt>
                <c:pt idx="6">
                  <c:v>115.26889620666203</c:v>
                </c:pt>
                <c:pt idx="7">
                  <c:v>119.38801852434131</c:v>
                </c:pt>
                <c:pt idx="8">
                  <c:v>122.51960333567229</c:v>
                </c:pt>
                <c:pt idx="9">
                  <c:v>125.92776936255436</c:v>
                </c:pt>
                <c:pt idx="10">
                  <c:v>129.83389985547541</c:v>
                </c:pt>
                <c:pt idx="11">
                  <c:v>132.85539323792617</c:v>
                </c:pt>
                <c:pt idx="12">
                  <c:v>135.56121018538738</c:v>
                </c:pt>
              </c:numCache>
            </c:numRef>
          </c:val>
          <c:smooth val="0"/>
          <c:extLst>
            <c:ext xmlns:c16="http://schemas.microsoft.com/office/drawing/2014/chart" uri="{C3380CC4-5D6E-409C-BE32-E72D297353CC}">
              <c16:uniqueId val="{00000001-860F-4700-A870-21D5E7844D26}"/>
            </c:ext>
          </c:extLst>
        </c:ser>
        <c:ser>
          <c:idx val="2"/>
          <c:order val="2"/>
          <c:tx>
            <c:strRef>
              <c:f>'T 26b'!$S$20</c:f>
              <c:strCache>
                <c:ptCount val="1"/>
                <c:pt idx="0">
                  <c:v>Reinvermögen</c:v>
                </c:pt>
              </c:strCache>
            </c:strRef>
          </c:tx>
          <c:spPr>
            <a:ln>
              <a:solidFill>
                <a:srgbClr val="7F6E51"/>
              </a:solidFill>
            </a:ln>
          </c:spPr>
          <c:marker>
            <c:symbol val="none"/>
          </c:marker>
          <c:cat>
            <c:numRef>
              <c:f>'T 26b'!$P$21:$P$33</c:f>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'T 26b'!$S$21:$S$33</c:f>
              <c:numCache>
                <c:formatCode>0</c:formatCode>
                <c:ptCount val="13"/>
                <c:pt idx="0" formatCode="General">
                  <c:v>100</c:v>
                </c:pt>
                <c:pt idx="1">
                  <c:v>99.918261724186578</c:v>
                </c:pt>
                <c:pt idx="2">
                  <c:v>104.44141454713272</c:v>
                </c:pt>
                <c:pt idx="3">
                  <c:v>105.15731128080677</c:v>
                </c:pt>
                <c:pt idx="4">
                  <c:v>110.6754888422814</c:v>
                </c:pt>
                <c:pt idx="5">
                  <c:v>115.1135724080812</c:v>
                </c:pt>
                <c:pt idx="6">
                  <c:v>116.8520243588481</c:v>
                </c:pt>
                <c:pt idx="7">
                  <c:v>108.40503913897686</c:v>
                </c:pt>
                <c:pt idx="8">
                  <c:v>115.51898177769712</c:v>
                </c:pt>
                <c:pt idx="9">
                  <c:v>117.48833070080269</c:v>
                </c:pt>
                <c:pt idx="10">
                  <c:v>121.47007659012775</c:v>
                </c:pt>
                <c:pt idx="11">
                  <c:v>129.29057289648088</c:v>
                </c:pt>
                <c:pt idx="12">
                  <c:v>135.05669032195985</c:v>
                </c:pt>
              </c:numCache>
            </c:numRef>
          </c:val>
          <c:smooth val="0"/>
          <c:extLst>
            <c:ext xmlns:c16="http://schemas.microsoft.com/office/drawing/2014/chart" uri="{C3380CC4-5D6E-409C-BE32-E72D297353CC}">
              <c16:uniqueId val="{00000002-860F-4700-A870-21D5E7844D26}"/>
            </c:ext>
          </c:extLst>
        </c:ser>
        <c:ser>
          <c:idx val="3"/>
          <c:order val="3"/>
          <c:tx>
            <c:strRef>
              <c:f>'T 26b'!$T$20</c:f>
              <c:strCache>
                <c:ptCount val="1"/>
                <c:pt idx="0">
                  <c:v>Kantonssteuer</c:v>
                </c:pt>
              </c:strCache>
            </c:strRef>
          </c:tx>
          <c:spPr>
            <a:ln>
              <a:solidFill>
                <a:schemeClr val="tx1">
                  <a:lumMod val="85000"/>
                  <a:lumOff val="15000"/>
                </a:schemeClr>
              </a:solidFill>
            </a:ln>
          </c:spPr>
          <c:marker>
            <c:symbol val="none"/>
          </c:marker>
          <c:cat>
            <c:numRef>
              <c:f>'T 26b'!$P$21:$P$33</c:f>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'T 26b'!$T$21:$T$33</c:f>
              <c:numCache>
                <c:formatCode>0</c:formatCode>
                <c:ptCount val="13"/>
                <c:pt idx="0" formatCode="General">
                  <c:v>100</c:v>
                </c:pt>
                <c:pt idx="1">
                  <c:v>95.437591253559205</c:v>
                </c:pt>
                <c:pt idx="2">
                  <c:v>97.260982782861078</c:v>
                </c:pt>
                <c:pt idx="3">
                  <c:v>99.586606887187486</c:v>
                </c:pt>
                <c:pt idx="4">
                  <c:v>103.24326442254568</c:v>
                </c:pt>
                <c:pt idx="5">
                  <c:v>107.44208738896835</c:v>
                </c:pt>
                <c:pt idx="6">
                  <c:v>112.13241948378858</c:v>
                </c:pt>
                <c:pt idx="7">
                  <c:v>115.72436768945134</c:v>
                </c:pt>
                <c:pt idx="8">
                  <c:v>114.14481026414877</c:v>
                </c:pt>
                <c:pt idx="9">
                  <c:v>117.88938677088458</c:v>
                </c:pt>
                <c:pt idx="10">
                  <c:v>122.48614278363424</c:v>
                </c:pt>
                <c:pt idx="11">
                  <c:v>126.33133017466879</c:v>
                </c:pt>
                <c:pt idx="12">
                  <c:v>130.14726672483795</c:v>
                </c:pt>
              </c:numCache>
            </c:numRef>
          </c:val>
          <c:smooth val="0"/>
          <c:extLst>
            <c:ext xmlns:c16="http://schemas.microsoft.com/office/drawing/2014/chart" uri="{C3380CC4-5D6E-409C-BE32-E72D297353CC}">
              <c16:uniqueId val="{00000003-860F-4700-A870-21D5E7844D26}"/>
            </c:ext>
          </c:extLst>
        </c:ser>
        <c:dLbls>
          <c:showLegendKey val="0"/>
          <c:showVal val="0"/>
          <c:showCatName val="0"/>
          <c:showSerName val="0"/>
          <c:showPercent val="0"/>
          <c:showBubbleSize val="0"/>
        </c:dLbls>
        <c:smooth val="0"/>
        <c:axId val="58045184"/>
        <c:axId val="58046720"/>
      </c:lineChart>
      <c:catAx>
        <c:axId val="58045184"/>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8046720"/>
        <c:crosses val="autoZero"/>
        <c:auto val="1"/>
        <c:lblAlgn val="ctr"/>
        <c:lblOffset val="100"/>
        <c:noMultiLvlLbl val="0"/>
      </c:catAx>
      <c:valAx>
        <c:axId val="58046720"/>
        <c:scaling>
          <c:orientation val="minMax"/>
          <c:min val="75"/>
        </c:scaling>
        <c:delete val="0"/>
        <c:axPos val="l"/>
        <c:majorGridlines/>
        <c:title>
          <c:tx>
            <c:rich>
              <a:bodyPr rot="0" vert="horz"/>
              <a:lstStyle/>
              <a:p>
                <a:pPr>
                  <a:defRPr b="0">
                    <a:latin typeface="Arial" panose="020B0604020202020204" pitchFamily="34" charset="0"/>
                    <a:cs typeface="Arial" panose="020B0604020202020204" pitchFamily="34" charset="0"/>
                  </a:defRPr>
                </a:pPr>
                <a:r>
                  <a:rPr lang="de-CH" b="0">
                    <a:latin typeface="Arial" panose="020B0604020202020204" pitchFamily="34" charset="0"/>
                    <a:cs typeface="Arial" panose="020B0604020202020204" pitchFamily="34" charset="0"/>
                  </a:rPr>
                  <a:t>Index</a:t>
                </a:r>
              </a:p>
            </c:rich>
          </c:tx>
          <c:layout>
            <c:manualLayout>
              <c:xMode val="edge"/>
              <c:yMode val="edge"/>
              <c:x val="1.2461059190031152E-2"/>
              <c:y val="0.15005479566976798"/>
            </c:manualLayout>
          </c:layout>
          <c:overlay val="0"/>
        </c:title>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8045184"/>
        <c:crosses val="autoZero"/>
        <c:crossBetween val="midCat"/>
        <c:majorUnit val="25"/>
      </c:valAx>
    </c:plotArea>
    <c:legend>
      <c:legendPos val="r"/>
      <c:layout>
        <c:manualLayout>
          <c:xMode val="edge"/>
          <c:yMode val="edge"/>
          <c:x val="0.7866276242407938"/>
          <c:y val="0.2066315055092188"/>
          <c:w val="0.2118148174973529"/>
          <c:h val="0.2089641183586467"/>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0-54D6-43F8-B87B-7E0EE698FE16}"/>
            </c:ext>
          </c:extLst>
        </c:ser>
        <c:ser>
          <c:idx val="1"/>
          <c:order val="1"/>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1-54D6-43F8-B87B-7E0EE698FE16}"/>
            </c:ext>
          </c:extLst>
        </c:ser>
        <c:ser>
          <c:idx val="2"/>
          <c:order val="2"/>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2-54D6-43F8-B87B-7E0EE698FE16}"/>
            </c:ext>
          </c:extLst>
        </c:ser>
        <c:ser>
          <c:idx val="3"/>
          <c:order val="3"/>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3-54D6-43F8-B87B-7E0EE698FE16}"/>
            </c:ext>
          </c:extLst>
        </c:ser>
        <c:ser>
          <c:idx val="4"/>
          <c:order val="4"/>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4-54D6-43F8-B87B-7E0EE698FE16}"/>
            </c:ext>
          </c:extLst>
        </c:ser>
        <c:ser>
          <c:idx val="5"/>
          <c:order val="5"/>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5-54D6-43F8-B87B-7E0EE698FE16}"/>
            </c:ext>
          </c:extLst>
        </c:ser>
        <c:ser>
          <c:idx val="6"/>
          <c:order val="6"/>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6-54D6-43F8-B87B-7E0EE698FE16}"/>
            </c:ext>
          </c:extLst>
        </c:ser>
        <c:ser>
          <c:idx val="7"/>
          <c:order val="7"/>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7-54D6-43F8-B87B-7E0EE698FE16}"/>
            </c:ext>
          </c:extLst>
        </c:ser>
        <c:ser>
          <c:idx val="8"/>
          <c:order val="8"/>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8-54D6-43F8-B87B-7E0EE698FE16}"/>
            </c:ext>
          </c:extLst>
        </c:ser>
        <c:ser>
          <c:idx val="9"/>
          <c:order val="9"/>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9-54D6-43F8-B87B-7E0EE698FE16}"/>
            </c:ext>
          </c:extLst>
        </c:ser>
        <c:ser>
          <c:idx val="10"/>
          <c:order val="10"/>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A-54D6-43F8-B87B-7E0EE698FE16}"/>
            </c:ext>
          </c:extLst>
        </c:ser>
        <c:ser>
          <c:idx val="11"/>
          <c:order val="11"/>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B-54D6-43F8-B87B-7E0EE698FE16}"/>
            </c:ext>
          </c:extLst>
        </c:ser>
        <c:ser>
          <c:idx val="12"/>
          <c:order val="12"/>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C-54D6-43F8-B87B-7E0EE698FE16}"/>
            </c:ext>
          </c:extLst>
        </c:ser>
        <c:ser>
          <c:idx val="13"/>
          <c:order val="13"/>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D-54D6-43F8-B87B-7E0EE698FE16}"/>
            </c:ext>
          </c:extLst>
        </c:ser>
        <c:dLbls>
          <c:showLegendKey val="0"/>
          <c:showVal val="0"/>
          <c:showCatName val="0"/>
          <c:showSerName val="0"/>
          <c:showPercent val="0"/>
          <c:showBubbleSize val="0"/>
        </c:dLbls>
        <c:gapWidth val="150"/>
        <c:axId val="52589696"/>
        <c:axId val="52591232"/>
      </c:barChart>
      <c:catAx>
        <c:axId val="52589696"/>
        <c:scaling>
          <c:orientation val="minMax"/>
        </c:scaling>
        <c:delete val="0"/>
        <c:axPos val="b"/>
        <c:numFmt formatCode="General" sourceLinked="1"/>
        <c:majorTickMark val="out"/>
        <c:minorTickMark val="none"/>
        <c:tickLblPos val="nextTo"/>
        <c:crossAx val="52591232"/>
        <c:crosses val="autoZero"/>
        <c:auto val="1"/>
        <c:lblAlgn val="ctr"/>
        <c:lblOffset val="100"/>
        <c:noMultiLvlLbl val="0"/>
      </c:catAx>
      <c:valAx>
        <c:axId val="52591232"/>
        <c:scaling>
          <c:orientation val="minMax"/>
        </c:scaling>
        <c:delete val="0"/>
        <c:axPos val="l"/>
        <c:majorGridlines/>
        <c:numFmt formatCode="General" sourceLinked="1"/>
        <c:majorTickMark val="out"/>
        <c:minorTickMark val="none"/>
        <c:tickLblPos val="nextTo"/>
        <c:crossAx val="52589696"/>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0-6FB2-42DB-861C-175D4EC8C573}"/>
            </c:ext>
          </c:extLst>
        </c:ser>
        <c:ser>
          <c:idx val="1"/>
          <c:order val="1"/>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1-6FB2-42DB-861C-175D4EC8C573}"/>
            </c:ext>
          </c:extLst>
        </c:ser>
        <c:ser>
          <c:idx val="2"/>
          <c:order val="2"/>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2-6FB2-42DB-861C-175D4EC8C573}"/>
            </c:ext>
          </c:extLst>
        </c:ser>
        <c:ser>
          <c:idx val="3"/>
          <c:order val="3"/>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3-6FB2-42DB-861C-175D4EC8C573}"/>
            </c:ext>
          </c:extLst>
        </c:ser>
        <c:ser>
          <c:idx val="4"/>
          <c:order val="4"/>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4-6FB2-42DB-861C-175D4EC8C573}"/>
            </c:ext>
          </c:extLst>
        </c:ser>
        <c:ser>
          <c:idx val="5"/>
          <c:order val="5"/>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5-6FB2-42DB-861C-175D4EC8C573}"/>
            </c:ext>
          </c:extLst>
        </c:ser>
        <c:ser>
          <c:idx val="6"/>
          <c:order val="6"/>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6-6FB2-42DB-861C-175D4EC8C573}"/>
            </c:ext>
          </c:extLst>
        </c:ser>
        <c:ser>
          <c:idx val="7"/>
          <c:order val="7"/>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7-6FB2-42DB-861C-175D4EC8C573}"/>
            </c:ext>
          </c:extLst>
        </c:ser>
        <c:ser>
          <c:idx val="8"/>
          <c:order val="8"/>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8-6FB2-42DB-861C-175D4EC8C573}"/>
            </c:ext>
          </c:extLst>
        </c:ser>
        <c:ser>
          <c:idx val="9"/>
          <c:order val="9"/>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9-6FB2-42DB-861C-175D4EC8C573}"/>
            </c:ext>
          </c:extLst>
        </c:ser>
        <c:ser>
          <c:idx val="10"/>
          <c:order val="10"/>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A-6FB2-42DB-861C-175D4EC8C573}"/>
            </c:ext>
          </c:extLst>
        </c:ser>
        <c:ser>
          <c:idx val="11"/>
          <c:order val="11"/>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B-6FB2-42DB-861C-175D4EC8C573}"/>
            </c:ext>
          </c:extLst>
        </c:ser>
        <c:ser>
          <c:idx val="12"/>
          <c:order val="12"/>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C-6FB2-42DB-861C-175D4EC8C573}"/>
            </c:ext>
          </c:extLst>
        </c:ser>
        <c:ser>
          <c:idx val="13"/>
          <c:order val="13"/>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D-6FB2-42DB-861C-175D4EC8C573}"/>
            </c:ext>
          </c:extLst>
        </c:ser>
        <c:dLbls>
          <c:showLegendKey val="0"/>
          <c:showVal val="0"/>
          <c:showCatName val="0"/>
          <c:showSerName val="0"/>
          <c:showPercent val="0"/>
          <c:showBubbleSize val="0"/>
        </c:dLbls>
        <c:gapWidth val="150"/>
        <c:axId val="52716672"/>
        <c:axId val="52718208"/>
      </c:barChart>
      <c:catAx>
        <c:axId val="52716672"/>
        <c:scaling>
          <c:orientation val="minMax"/>
        </c:scaling>
        <c:delete val="0"/>
        <c:axPos val="b"/>
        <c:numFmt formatCode="General" sourceLinked="1"/>
        <c:majorTickMark val="out"/>
        <c:minorTickMark val="none"/>
        <c:tickLblPos val="nextTo"/>
        <c:crossAx val="52718208"/>
        <c:crosses val="autoZero"/>
        <c:auto val="1"/>
        <c:lblAlgn val="ctr"/>
        <c:lblOffset val="100"/>
        <c:noMultiLvlLbl val="0"/>
      </c:catAx>
      <c:valAx>
        <c:axId val="52718208"/>
        <c:scaling>
          <c:orientation val="minMax"/>
        </c:scaling>
        <c:delete val="0"/>
        <c:axPos val="l"/>
        <c:majorGridlines/>
        <c:numFmt formatCode="General" sourceLinked="1"/>
        <c:majorTickMark val="out"/>
        <c:minorTickMark val="none"/>
        <c:tickLblPos val="nextTo"/>
        <c:crossAx val="52716672"/>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atin typeface="Arial" panose="020B0604020202020204" pitchFamily="34" charset="0"/>
                <a:cs typeface="Arial" panose="020B0604020202020204" pitchFamily="34" charset="0"/>
              </a:defRPr>
            </a:pPr>
            <a:r>
              <a:rPr lang="en-US" sz="1400">
                <a:latin typeface="Arial" panose="020B0604020202020204" pitchFamily="34" charset="0"/>
                <a:cs typeface="Arial" panose="020B0604020202020204" pitchFamily="34" charset="0"/>
              </a:rPr>
              <a:t>Reineinkommen der Steuerpflichtigen mit Wohnsitz im Kanton Aargau nach Altersklassen, in Franken pro Pflichtigen, 2013</a:t>
            </a:r>
          </a:p>
        </c:rich>
      </c:tx>
      <c:overlay val="0"/>
    </c:title>
    <c:autoTitleDeleted val="0"/>
    <c:plotArea>
      <c:layout>
        <c:manualLayout>
          <c:layoutTarget val="inner"/>
          <c:xMode val="edge"/>
          <c:yMode val="edge"/>
          <c:x val="0.12520200945397797"/>
          <c:y val="0.27613383456803858"/>
          <c:w val="0.70935982510785656"/>
          <c:h val="0.61030105626401498"/>
        </c:manualLayout>
      </c:layout>
      <c:barChart>
        <c:barDir val="col"/>
        <c:grouping val="clustered"/>
        <c:varyColors val="0"/>
        <c:ser>
          <c:idx val="0"/>
          <c:order val="0"/>
          <c:tx>
            <c:strRef>
              <c:f>'T 7'!$O$50</c:f>
              <c:strCache>
                <c:ptCount val="1"/>
                <c:pt idx="0">
                  <c:v>Reineinkommen in Franken pro Pflichtigen</c:v>
                </c:pt>
              </c:strCache>
            </c:strRef>
          </c:tx>
          <c:spPr>
            <a:solidFill>
              <a:srgbClr val="545F60"/>
            </a:solidFill>
          </c:spPr>
          <c:invertIfNegative val="0"/>
          <c:cat>
            <c:strRef>
              <c:f>'T 7'!$N$51:$N$57</c:f>
              <c:strCache>
                <c:ptCount val="7"/>
                <c:pt idx="0">
                  <c:v>0 - 19</c:v>
                </c:pt>
                <c:pt idx="1">
                  <c:v>20 - 29</c:v>
                </c:pt>
                <c:pt idx="2">
                  <c:v>30 - 39</c:v>
                </c:pt>
                <c:pt idx="3">
                  <c:v>40 - 49</c:v>
                </c:pt>
                <c:pt idx="4">
                  <c:v>50 - 59</c:v>
                </c:pt>
                <c:pt idx="5">
                  <c:v>60 - 64</c:v>
                </c:pt>
                <c:pt idx="6">
                  <c:v>65 +</c:v>
                </c:pt>
              </c:strCache>
            </c:strRef>
          </c:cat>
          <c:val>
            <c:numRef>
              <c:f>'T 7'!$O$51:$O$57</c:f>
              <c:numCache>
                <c:formatCode>_ * #,##0_ ;_ * \-#,##0_ ;_ * "-"??_ ;_ @_ </c:formatCode>
                <c:ptCount val="7"/>
                <c:pt idx="0">
                  <c:v>6295.8437762006497</c:v>
                </c:pt>
                <c:pt idx="1">
                  <c:v>33894.036254280858</c:v>
                </c:pt>
                <c:pt idx="2">
                  <c:v>68960.373616780518</c:v>
                </c:pt>
                <c:pt idx="3">
                  <c:v>87295.286893448021</c:v>
                </c:pt>
                <c:pt idx="4">
                  <c:v>89652.136492054648</c:v>
                </c:pt>
                <c:pt idx="5">
                  <c:v>81296.291146929827</c:v>
                </c:pt>
                <c:pt idx="6">
                  <c:v>64477.520285216706</c:v>
                </c:pt>
              </c:numCache>
            </c:numRef>
          </c:val>
          <c:extLst>
            <c:ext xmlns:c16="http://schemas.microsoft.com/office/drawing/2014/chart" uri="{C3380CC4-5D6E-409C-BE32-E72D297353CC}">
              <c16:uniqueId val="{00000000-66D5-42BF-BB7D-83A9D3FEF915}"/>
            </c:ext>
          </c:extLst>
        </c:ser>
        <c:dLbls>
          <c:showLegendKey val="0"/>
          <c:showVal val="0"/>
          <c:showCatName val="0"/>
          <c:showSerName val="0"/>
          <c:showPercent val="0"/>
          <c:showBubbleSize val="0"/>
        </c:dLbls>
        <c:gapWidth val="150"/>
        <c:axId val="52731264"/>
        <c:axId val="52737152"/>
      </c:barChart>
      <c:lineChart>
        <c:grouping val="standard"/>
        <c:varyColors val="0"/>
        <c:ser>
          <c:idx val="1"/>
          <c:order val="1"/>
          <c:tx>
            <c:strRef>
              <c:f>'T 7'!$P$50</c:f>
              <c:strCache>
                <c:ptCount val="1"/>
                <c:pt idx="0">
                  <c:v>Durchschnitt</c:v>
                </c:pt>
              </c:strCache>
            </c:strRef>
          </c:tx>
          <c:marker>
            <c:symbol val="none"/>
          </c:marker>
          <c:cat>
            <c:strRef>
              <c:f>'T 7'!$N$51:$N$57</c:f>
              <c:strCache>
                <c:ptCount val="7"/>
                <c:pt idx="0">
                  <c:v>0 - 19</c:v>
                </c:pt>
                <c:pt idx="1">
                  <c:v>20 - 29</c:v>
                </c:pt>
                <c:pt idx="2">
                  <c:v>30 - 39</c:v>
                </c:pt>
                <c:pt idx="3">
                  <c:v>40 - 49</c:v>
                </c:pt>
                <c:pt idx="4">
                  <c:v>50 - 59</c:v>
                </c:pt>
                <c:pt idx="5">
                  <c:v>60 - 64</c:v>
                </c:pt>
                <c:pt idx="6">
                  <c:v>65 +</c:v>
                </c:pt>
              </c:strCache>
            </c:strRef>
          </c:cat>
          <c:val>
            <c:numRef>
              <c:f>'T 7'!$P$51:$P$57</c:f>
              <c:numCache>
                <c:formatCode>_(* #,##0_);_(* \(#,##0\);_(* "-"??_);_(@_)</c:formatCode>
                <c:ptCount val="7"/>
                <c:pt idx="0">
                  <c:v>67072.955468591186</c:v>
                </c:pt>
                <c:pt idx="1">
                  <c:v>67072.955468591186</c:v>
                </c:pt>
                <c:pt idx="2">
                  <c:v>67072.955468591186</c:v>
                </c:pt>
                <c:pt idx="3">
                  <c:v>67072.955468591186</c:v>
                </c:pt>
                <c:pt idx="4">
                  <c:v>67072.955468591186</c:v>
                </c:pt>
                <c:pt idx="5">
                  <c:v>67072.955468591186</c:v>
                </c:pt>
                <c:pt idx="6">
                  <c:v>67072.955468591186</c:v>
                </c:pt>
              </c:numCache>
            </c:numRef>
          </c:val>
          <c:smooth val="0"/>
          <c:extLst>
            <c:ext xmlns:c16="http://schemas.microsoft.com/office/drawing/2014/chart" uri="{C3380CC4-5D6E-409C-BE32-E72D297353CC}">
              <c16:uniqueId val="{00000001-66D5-42BF-BB7D-83A9D3FEF915}"/>
            </c:ext>
          </c:extLst>
        </c:ser>
        <c:dLbls>
          <c:showLegendKey val="0"/>
          <c:showVal val="0"/>
          <c:showCatName val="0"/>
          <c:showSerName val="0"/>
          <c:showPercent val="0"/>
          <c:showBubbleSize val="0"/>
        </c:dLbls>
        <c:marker val="1"/>
        <c:smooth val="0"/>
        <c:axId val="52731264"/>
        <c:axId val="52737152"/>
      </c:lineChart>
      <c:catAx>
        <c:axId val="5273126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2737152"/>
        <c:crosses val="autoZero"/>
        <c:auto val="1"/>
        <c:lblAlgn val="ctr"/>
        <c:lblOffset val="100"/>
        <c:noMultiLvlLbl val="0"/>
      </c:catAx>
      <c:valAx>
        <c:axId val="52737152"/>
        <c:scaling>
          <c:orientation val="minMax"/>
        </c:scaling>
        <c:delete val="0"/>
        <c:axPos val="l"/>
        <c:majorGridlines/>
        <c:title>
          <c:tx>
            <c:rich>
              <a:bodyPr rot="0" vert="horz"/>
              <a:lstStyle/>
              <a:p>
                <a:pPr>
                  <a:defRPr b="0">
                    <a:latin typeface="Arial" panose="020B0604020202020204" pitchFamily="34" charset="0"/>
                    <a:cs typeface="Arial" panose="020B0604020202020204" pitchFamily="34" charset="0"/>
                  </a:defRPr>
                </a:pPr>
                <a:r>
                  <a:rPr lang="de-CH" b="0">
                    <a:latin typeface="Arial" panose="020B0604020202020204" pitchFamily="34" charset="0"/>
                    <a:cs typeface="Arial" panose="020B0604020202020204" pitchFamily="34" charset="0"/>
                  </a:rPr>
                  <a:t>in</a:t>
                </a:r>
                <a:r>
                  <a:rPr lang="de-CH" b="0" baseline="0">
                    <a:latin typeface="Arial" panose="020B0604020202020204" pitchFamily="34" charset="0"/>
                    <a:cs typeface="Arial" panose="020B0604020202020204" pitchFamily="34" charset="0"/>
                  </a:rPr>
                  <a:t> Franken pro Pflichtigen</a:t>
                </a:r>
                <a:endParaRPr lang="de-CH" b="0">
                  <a:latin typeface="Arial" panose="020B0604020202020204" pitchFamily="34" charset="0"/>
                  <a:cs typeface="Arial" panose="020B0604020202020204" pitchFamily="34" charset="0"/>
                </a:endParaRPr>
              </a:p>
            </c:rich>
          </c:tx>
          <c:layout>
            <c:manualLayout>
              <c:xMode val="edge"/>
              <c:yMode val="edge"/>
              <c:x val="4.9867992545157891E-2"/>
              <c:y val="0.20694643054087913"/>
            </c:manualLayout>
          </c:layout>
          <c:overlay val="0"/>
        </c:title>
        <c:numFmt formatCode="_ * #,##0_ ;_ * \-#,##0_ ;_ * &quot;-&quot;??_ ;_ @_ "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2731264"/>
        <c:crosses val="autoZero"/>
        <c:crossBetween val="between"/>
      </c:valAx>
    </c:plotArea>
    <c:legend>
      <c:legendPos val="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1400" b="1" i="0" baseline="0">
                <a:effectLst/>
                <a:latin typeface="Arial" panose="020B0604020202020204" pitchFamily="34" charset="0"/>
                <a:cs typeface="Arial" panose="020B0604020202020204" pitchFamily="34" charset="0"/>
              </a:rPr>
              <a:t>Reinvermögen der Steuerpflichtigen mit Wohnsitz im Kanton Aargau nach Altersklassen, in Franken pro Pflichtigen, 2013</a:t>
            </a:r>
            <a:endParaRPr lang="de-CH" sz="1400">
              <a:effectLst/>
              <a:latin typeface="Arial" panose="020B0604020202020204" pitchFamily="34" charset="0"/>
              <a:cs typeface="Arial" panose="020B0604020202020204" pitchFamily="34" charset="0"/>
            </a:endParaRPr>
          </a:p>
        </c:rich>
      </c:tx>
      <c:overlay val="0"/>
    </c:title>
    <c:autoTitleDeleted val="0"/>
    <c:plotArea>
      <c:layout>
        <c:manualLayout>
          <c:layoutTarget val="inner"/>
          <c:xMode val="edge"/>
          <c:yMode val="edge"/>
          <c:x val="0.12408947657552598"/>
          <c:y val="0.26477303135372721"/>
          <c:w val="0.71107984206992481"/>
          <c:h val="0.61286715516308832"/>
        </c:manualLayout>
      </c:layout>
      <c:barChart>
        <c:barDir val="col"/>
        <c:grouping val="clustered"/>
        <c:varyColors val="0"/>
        <c:ser>
          <c:idx val="0"/>
          <c:order val="1"/>
          <c:tx>
            <c:strRef>
              <c:f>'T 7'!$O$77</c:f>
              <c:strCache>
                <c:ptCount val="1"/>
                <c:pt idx="0">
                  <c:v>Reinvermögen in Franken pro Pflichtigen</c:v>
                </c:pt>
              </c:strCache>
            </c:strRef>
          </c:tx>
          <c:spPr>
            <a:solidFill>
              <a:srgbClr val="545F60"/>
            </a:solidFill>
          </c:spPr>
          <c:invertIfNegative val="0"/>
          <c:cat>
            <c:strRef>
              <c:f>'T 7'!$N$78:$N$84</c:f>
              <c:strCache>
                <c:ptCount val="7"/>
                <c:pt idx="0">
                  <c:v>0 - 19</c:v>
                </c:pt>
                <c:pt idx="1">
                  <c:v>20 - 29</c:v>
                </c:pt>
                <c:pt idx="2">
                  <c:v>30 - 39</c:v>
                </c:pt>
                <c:pt idx="3">
                  <c:v>40 - 49</c:v>
                </c:pt>
                <c:pt idx="4">
                  <c:v>50 - 59</c:v>
                </c:pt>
                <c:pt idx="5">
                  <c:v>60 - 64</c:v>
                </c:pt>
                <c:pt idx="6">
                  <c:v>65 +</c:v>
                </c:pt>
              </c:strCache>
            </c:strRef>
          </c:cat>
          <c:val>
            <c:numRef>
              <c:f>'T 7'!$O$78:$O$84</c:f>
              <c:numCache>
                <c:formatCode>_ * #,##0_ ;_ * \-#,##0_ ;_ * "-"??_ ;_ @_ </c:formatCode>
                <c:ptCount val="7"/>
                <c:pt idx="0">
                  <c:v>10496.603991569409</c:v>
                </c:pt>
                <c:pt idx="1">
                  <c:v>28454.254322871322</c:v>
                </c:pt>
                <c:pt idx="2">
                  <c:v>90623.168019815814</c:v>
                </c:pt>
                <c:pt idx="3">
                  <c:v>173767.15201049828</c:v>
                </c:pt>
                <c:pt idx="4">
                  <c:v>302967.04452497466</c:v>
                </c:pt>
                <c:pt idx="5">
                  <c:v>475852.00235020259</c:v>
                </c:pt>
                <c:pt idx="6">
                  <c:v>717638.96917237504</c:v>
                </c:pt>
              </c:numCache>
            </c:numRef>
          </c:val>
          <c:extLst>
            <c:ext xmlns:c16="http://schemas.microsoft.com/office/drawing/2014/chart" uri="{C3380CC4-5D6E-409C-BE32-E72D297353CC}">
              <c16:uniqueId val="{00000000-5E00-4749-B242-7855AEBE6C36}"/>
            </c:ext>
          </c:extLst>
        </c:ser>
        <c:dLbls>
          <c:showLegendKey val="0"/>
          <c:showVal val="0"/>
          <c:showCatName val="0"/>
          <c:showSerName val="0"/>
          <c:showPercent val="0"/>
          <c:showBubbleSize val="0"/>
        </c:dLbls>
        <c:gapWidth val="150"/>
        <c:axId val="52751744"/>
        <c:axId val="52757632"/>
      </c:barChart>
      <c:lineChart>
        <c:grouping val="standard"/>
        <c:varyColors val="0"/>
        <c:ser>
          <c:idx val="1"/>
          <c:order val="0"/>
          <c:tx>
            <c:strRef>
              <c:f>'T 7'!$P$77</c:f>
              <c:strCache>
                <c:ptCount val="1"/>
                <c:pt idx="0">
                  <c:v>Durchschnitt</c:v>
                </c:pt>
              </c:strCache>
            </c:strRef>
          </c:tx>
          <c:marker>
            <c:symbol val="none"/>
          </c:marker>
          <c:cat>
            <c:strRef>
              <c:f>'T 7'!$N$78:$N$84</c:f>
              <c:strCache>
                <c:ptCount val="7"/>
                <c:pt idx="0">
                  <c:v>0 - 19</c:v>
                </c:pt>
                <c:pt idx="1">
                  <c:v>20 - 29</c:v>
                </c:pt>
                <c:pt idx="2">
                  <c:v>30 - 39</c:v>
                </c:pt>
                <c:pt idx="3">
                  <c:v>40 - 49</c:v>
                </c:pt>
                <c:pt idx="4">
                  <c:v>50 - 59</c:v>
                </c:pt>
                <c:pt idx="5">
                  <c:v>60 - 64</c:v>
                </c:pt>
                <c:pt idx="6">
                  <c:v>65 +</c:v>
                </c:pt>
              </c:strCache>
            </c:strRef>
          </c:cat>
          <c:val>
            <c:numRef>
              <c:f>'T 7'!$P$78:$P$84</c:f>
              <c:numCache>
                <c:formatCode>_ * #,##0_ ;_ * \-#,##0_ ;_ * "-"??_ ;_ @_ </c:formatCode>
                <c:ptCount val="7"/>
                <c:pt idx="0">
                  <c:v>285923.25779306481</c:v>
                </c:pt>
                <c:pt idx="1">
                  <c:v>285923.25779306481</c:v>
                </c:pt>
                <c:pt idx="2">
                  <c:v>285923.25779306481</c:v>
                </c:pt>
                <c:pt idx="3">
                  <c:v>285923.25779306481</c:v>
                </c:pt>
                <c:pt idx="4">
                  <c:v>285923.25779306481</c:v>
                </c:pt>
                <c:pt idx="5">
                  <c:v>285923.25779306481</c:v>
                </c:pt>
                <c:pt idx="6">
                  <c:v>285923.25779306481</c:v>
                </c:pt>
              </c:numCache>
            </c:numRef>
          </c:val>
          <c:smooth val="0"/>
          <c:extLst>
            <c:ext xmlns:c16="http://schemas.microsoft.com/office/drawing/2014/chart" uri="{C3380CC4-5D6E-409C-BE32-E72D297353CC}">
              <c16:uniqueId val="{00000001-5E00-4749-B242-7855AEBE6C36}"/>
            </c:ext>
          </c:extLst>
        </c:ser>
        <c:dLbls>
          <c:showLegendKey val="0"/>
          <c:showVal val="0"/>
          <c:showCatName val="0"/>
          <c:showSerName val="0"/>
          <c:showPercent val="0"/>
          <c:showBubbleSize val="0"/>
        </c:dLbls>
        <c:marker val="1"/>
        <c:smooth val="0"/>
        <c:axId val="52751744"/>
        <c:axId val="52757632"/>
      </c:lineChart>
      <c:catAx>
        <c:axId val="5275174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2757632"/>
        <c:crosses val="autoZero"/>
        <c:auto val="1"/>
        <c:lblAlgn val="ctr"/>
        <c:lblOffset val="100"/>
        <c:noMultiLvlLbl val="0"/>
      </c:catAx>
      <c:valAx>
        <c:axId val="52757632"/>
        <c:scaling>
          <c:orientation val="minMax"/>
        </c:scaling>
        <c:delete val="0"/>
        <c:axPos val="l"/>
        <c:majorGridlines/>
        <c:title>
          <c:tx>
            <c:rich>
              <a:bodyPr rot="0" vert="horz"/>
              <a:lstStyle/>
              <a:p>
                <a:pPr>
                  <a:defRPr b="0"/>
                </a:pPr>
                <a:r>
                  <a:rPr lang="de-CH" b="0">
                    <a:latin typeface="Arial" panose="020B0604020202020204" pitchFamily="34" charset="0"/>
                    <a:cs typeface="Arial" panose="020B0604020202020204" pitchFamily="34" charset="0"/>
                  </a:rPr>
                  <a:t>in</a:t>
                </a:r>
                <a:r>
                  <a:rPr lang="de-CH" b="0" baseline="0">
                    <a:latin typeface="Arial" panose="020B0604020202020204" pitchFamily="34" charset="0"/>
                    <a:cs typeface="Arial" panose="020B0604020202020204" pitchFamily="34" charset="0"/>
                  </a:rPr>
                  <a:t> Franken pro Pflichtigen</a:t>
                </a:r>
                <a:endParaRPr lang="de-CH" b="0">
                  <a:latin typeface="Arial" panose="020B0604020202020204" pitchFamily="34" charset="0"/>
                  <a:cs typeface="Arial" panose="020B0604020202020204" pitchFamily="34" charset="0"/>
                </a:endParaRPr>
              </a:p>
            </c:rich>
          </c:tx>
          <c:layout>
            <c:manualLayout>
              <c:xMode val="edge"/>
              <c:yMode val="edge"/>
              <c:x val="5.2223582211342309E-2"/>
              <c:y val="0.17991611342699809"/>
            </c:manualLayout>
          </c:layout>
          <c:overlay val="0"/>
        </c:title>
        <c:numFmt formatCode="_ * #,##0_ ;_ * \-#,##0_ ;_ * &quot;-&quot;??_ ;_ @_ "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2751744"/>
        <c:crosses val="autoZero"/>
        <c:crossBetween val="between"/>
      </c:valAx>
    </c:plotArea>
    <c:legend>
      <c:legendPos val="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0-91B2-4D29-AFAC-62A1A5EDC5F7}"/>
            </c:ext>
          </c:extLst>
        </c:ser>
        <c:ser>
          <c:idx val="1"/>
          <c:order val="1"/>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1-91B2-4D29-AFAC-62A1A5EDC5F7}"/>
            </c:ext>
          </c:extLst>
        </c:ser>
        <c:ser>
          <c:idx val="2"/>
          <c:order val="2"/>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2-91B2-4D29-AFAC-62A1A5EDC5F7}"/>
            </c:ext>
          </c:extLst>
        </c:ser>
        <c:ser>
          <c:idx val="3"/>
          <c:order val="3"/>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3-91B2-4D29-AFAC-62A1A5EDC5F7}"/>
            </c:ext>
          </c:extLst>
        </c:ser>
        <c:ser>
          <c:idx val="4"/>
          <c:order val="4"/>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4-91B2-4D29-AFAC-62A1A5EDC5F7}"/>
            </c:ext>
          </c:extLst>
        </c:ser>
        <c:ser>
          <c:idx val="5"/>
          <c:order val="5"/>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5-91B2-4D29-AFAC-62A1A5EDC5F7}"/>
            </c:ext>
          </c:extLst>
        </c:ser>
        <c:ser>
          <c:idx val="6"/>
          <c:order val="6"/>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6-91B2-4D29-AFAC-62A1A5EDC5F7}"/>
            </c:ext>
          </c:extLst>
        </c:ser>
        <c:ser>
          <c:idx val="7"/>
          <c:order val="7"/>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7-91B2-4D29-AFAC-62A1A5EDC5F7}"/>
            </c:ext>
          </c:extLst>
        </c:ser>
        <c:ser>
          <c:idx val="8"/>
          <c:order val="8"/>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8-91B2-4D29-AFAC-62A1A5EDC5F7}"/>
            </c:ext>
          </c:extLst>
        </c:ser>
        <c:ser>
          <c:idx val="9"/>
          <c:order val="9"/>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9-91B2-4D29-AFAC-62A1A5EDC5F7}"/>
            </c:ext>
          </c:extLst>
        </c:ser>
        <c:ser>
          <c:idx val="10"/>
          <c:order val="10"/>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A-91B2-4D29-AFAC-62A1A5EDC5F7}"/>
            </c:ext>
          </c:extLst>
        </c:ser>
        <c:ser>
          <c:idx val="11"/>
          <c:order val="11"/>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B-91B2-4D29-AFAC-62A1A5EDC5F7}"/>
            </c:ext>
          </c:extLst>
        </c:ser>
        <c:ser>
          <c:idx val="12"/>
          <c:order val="12"/>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C-91B2-4D29-AFAC-62A1A5EDC5F7}"/>
            </c:ext>
          </c:extLst>
        </c:ser>
        <c:ser>
          <c:idx val="13"/>
          <c:order val="13"/>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D-91B2-4D29-AFAC-62A1A5EDC5F7}"/>
            </c:ext>
          </c:extLst>
        </c:ser>
        <c:dLbls>
          <c:showLegendKey val="0"/>
          <c:showVal val="0"/>
          <c:showCatName val="0"/>
          <c:showSerName val="0"/>
          <c:showPercent val="0"/>
          <c:showBubbleSize val="0"/>
        </c:dLbls>
        <c:gapWidth val="150"/>
        <c:axId val="52802304"/>
        <c:axId val="52803840"/>
      </c:barChart>
      <c:catAx>
        <c:axId val="52802304"/>
        <c:scaling>
          <c:orientation val="minMax"/>
        </c:scaling>
        <c:delete val="0"/>
        <c:axPos val="b"/>
        <c:numFmt formatCode="General" sourceLinked="1"/>
        <c:majorTickMark val="out"/>
        <c:minorTickMark val="none"/>
        <c:tickLblPos val="nextTo"/>
        <c:crossAx val="52803840"/>
        <c:crosses val="autoZero"/>
        <c:auto val="1"/>
        <c:lblAlgn val="ctr"/>
        <c:lblOffset val="100"/>
        <c:noMultiLvlLbl val="0"/>
      </c:catAx>
      <c:valAx>
        <c:axId val="52803840"/>
        <c:scaling>
          <c:orientation val="minMax"/>
        </c:scaling>
        <c:delete val="0"/>
        <c:axPos val="l"/>
        <c:majorGridlines/>
        <c:numFmt formatCode="General" sourceLinked="1"/>
        <c:majorTickMark val="out"/>
        <c:minorTickMark val="none"/>
        <c:tickLblPos val="nextTo"/>
        <c:crossAx val="52802304"/>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0-6156-4D6E-A0BB-553BBCF25A3C}"/>
            </c:ext>
          </c:extLst>
        </c:ser>
        <c:ser>
          <c:idx val="1"/>
          <c:order val="1"/>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1-6156-4D6E-A0BB-553BBCF25A3C}"/>
            </c:ext>
          </c:extLst>
        </c:ser>
        <c:ser>
          <c:idx val="2"/>
          <c:order val="2"/>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2-6156-4D6E-A0BB-553BBCF25A3C}"/>
            </c:ext>
          </c:extLst>
        </c:ser>
        <c:ser>
          <c:idx val="3"/>
          <c:order val="3"/>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3-6156-4D6E-A0BB-553BBCF25A3C}"/>
            </c:ext>
          </c:extLst>
        </c:ser>
        <c:ser>
          <c:idx val="4"/>
          <c:order val="4"/>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4-6156-4D6E-A0BB-553BBCF25A3C}"/>
            </c:ext>
          </c:extLst>
        </c:ser>
        <c:ser>
          <c:idx val="5"/>
          <c:order val="5"/>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5-6156-4D6E-A0BB-553BBCF25A3C}"/>
            </c:ext>
          </c:extLst>
        </c:ser>
        <c:ser>
          <c:idx val="6"/>
          <c:order val="6"/>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6-6156-4D6E-A0BB-553BBCF25A3C}"/>
            </c:ext>
          </c:extLst>
        </c:ser>
        <c:ser>
          <c:idx val="7"/>
          <c:order val="7"/>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7-6156-4D6E-A0BB-553BBCF25A3C}"/>
            </c:ext>
          </c:extLst>
        </c:ser>
        <c:ser>
          <c:idx val="8"/>
          <c:order val="8"/>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8-6156-4D6E-A0BB-553BBCF25A3C}"/>
            </c:ext>
          </c:extLst>
        </c:ser>
        <c:ser>
          <c:idx val="9"/>
          <c:order val="9"/>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9-6156-4D6E-A0BB-553BBCF25A3C}"/>
            </c:ext>
          </c:extLst>
        </c:ser>
        <c:ser>
          <c:idx val="10"/>
          <c:order val="10"/>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A-6156-4D6E-A0BB-553BBCF25A3C}"/>
            </c:ext>
          </c:extLst>
        </c:ser>
        <c:ser>
          <c:idx val="11"/>
          <c:order val="11"/>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B-6156-4D6E-A0BB-553BBCF25A3C}"/>
            </c:ext>
          </c:extLst>
        </c:ser>
        <c:ser>
          <c:idx val="12"/>
          <c:order val="12"/>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C-6156-4D6E-A0BB-553BBCF25A3C}"/>
            </c:ext>
          </c:extLst>
        </c:ser>
        <c:ser>
          <c:idx val="13"/>
          <c:order val="13"/>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D-6156-4D6E-A0BB-553BBCF25A3C}"/>
            </c:ext>
          </c:extLst>
        </c:ser>
        <c:dLbls>
          <c:showLegendKey val="0"/>
          <c:showVal val="0"/>
          <c:showCatName val="0"/>
          <c:showSerName val="0"/>
          <c:showPercent val="0"/>
          <c:showBubbleSize val="0"/>
        </c:dLbls>
        <c:gapWidth val="150"/>
        <c:axId val="52986624"/>
        <c:axId val="52988160"/>
      </c:barChart>
      <c:catAx>
        <c:axId val="52986624"/>
        <c:scaling>
          <c:orientation val="minMax"/>
        </c:scaling>
        <c:delete val="0"/>
        <c:axPos val="b"/>
        <c:numFmt formatCode="General" sourceLinked="1"/>
        <c:majorTickMark val="out"/>
        <c:minorTickMark val="none"/>
        <c:tickLblPos val="nextTo"/>
        <c:crossAx val="52988160"/>
        <c:crosses val="autoZero"/>
        <c:auto val="1"/>
        <c:lblAlgn val="ctr"/>
        <c:lblOffset val="100"/>
        <c:noMultiLvlLbl val="0"/>
      </c:catAx>
      <c:valAx>
        <c:axId val="52988160"/>
        <c:scaling>
          <c:orientation val="minMax"/>
        </c:scaling>
        <c:delete val="0"/>
        <c:axPos val="l"/>
        <c:majorGridlines/>
        <c:numFmt formatCode="General" sourceLinked="1"/>
        <c:majorTickMark val="out"/>
        <c:minorTickMark val="none"/>
        <c:tickLblPos val="nextTo"/>
        <c:crossAx val="52986624"/>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0-C063-490B-98D0-1E291AD96F0D}"/>
            </c:ext>
          </c:extLst>
        </c:ser>
        <c:ser>
          <c:idx val="1"/>
          <c:order val="1"/>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1-C063-490B-98D0-1E291AD96F0D}"/>
            </c:ext>
          </c:extLst>
        </c:ser>
        <c:ser>
          <c:idx val="2"/>
          <c:order val="2"/>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2-C063-490B-98D0-1E291AD96F0D}"/>
            </c:ext>
          </c:extLst>
        </c:ser>
        <c:ser>
          <c:idx val="3"/>
          <c:order val="3"/>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3-C063-490B-98D0-1E291AD96F0D}"/>
            </c:ext>
          </c:extLst>
        </c:ser>
        <c:ser>
          <c:idx val="4"/>
          <c:order val="4"/>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4-C063-490B-98D0-1E291AD96F0D}"/>
            </c:ext>
          </c:extLst>
        </c:ser>
        <c:ser>
          <c:idx val="5"/>
          <c:order val="5"/>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5-C063-490B-98D0-1E291AD96F0D}"/>
            </c:ext>
          </c:extLst>
        </c:ser>
        <c:ser>
          <c:idx val="6"/>
          <c:order val="6"/>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6-C063-490B-98D0-1E291AD96F0D}"/>
            </c:ext>
          </c:extLst>
        </c:ser>
        <c:ser>
          <c:idx val="7"/>
          <c:order val="7"/>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7-C063-490B-98D0-1E291AD96F0D}"/>
            </c:ext>
          </c:extLst>
        </c:ser>
        <c:ser>
          <c:idx val="8"/>
          <c:order val="8"/>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8-C063-490B-98D0-1E291AD96F0D}"/>
            </c:ext>
          </c:extLst>
        </c:ser>
        <c:ser>
          <c:idx val="9"/>
          <c:order val="9"/>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9-C063-490B-98D0-1E291AD96F0D}"/>
            </c:ext>
          </c:extLst>
        </c:ser>
        <c:ser>
          <c:idx val="10"/>
          <c:order val="10"/>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A-C063-490B-98D0-1E291AD96F0D}"/>
            </c:ext>
          </c:extLst>
        </c:ser>
        <c:ser>
          <c:idx val="11"/>
          <c:order val="11"/>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B-C063-490B-98D0-1E291AD96F0D}"/>
            </c:ext>
          </c:extLst>
        </c:ser>
        <c:ser>
          <c:idx val="12"/>
          <c:order val="12"/>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C-C063-490B-98D0-1E291AD96F0D}"/>
            </c:ext>
          </c:extLst>
        </c:ser>
        <c:ser>
          <c:idx val="13"/>
          <c:order val="13"/>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D-C063-490B-98D0-1E291AD96F0D}"/>
            </c:ext>
          </c:extLst>
        </c:ser>
        <c:dLbls>
          <c:showLegendKey val="0"/>
          <c:showVal val="0"/>
          <c:showCatName val="0"/>
          <c:showSerName val="0"/>
          <c:showPercent val="0"/>
          <c:showBubbleSize val="0"/>
        </c:dLbls>
        <c:gapWidth val="150"/>
        <c:axId val="54289152"/>
        <c:axId val="54290688"/>
      </c:barChart>
      <c:catAx>
        <c:axId val="54289152"/>
        <c:scaling>
          <c:orientation val="minMax"/>
        </c:scaling>
        <c:delete val="0"/>
        <c:axPos val="b"/>
        <c:numFmt formatCode="General" sourceLinked="1"/>
        <c:majorTickMark val="out"/>
        <c:minorTickMark val="none"/>
        <c:tickLblPos val="nextTo"/>
        <c:crossAx val="54290688"/>
        <c:crosses val="autoZero"/>
        <c:auto val="1"/>
        <c:lblAlgn val="ctr"/>
        <c:lblOffset val="100"/>
        <c:noMultiLvlLbl val="0"/>
      </c:catAx>
      <c:valAx>
        <c:axId val="54290688"/>
        <c:scaling>
          <c:orientation val="minMax"/>
        </c:scaling>
        <c:delete val="0"/>
        <c:axPos val="l"/>
        <c:majorGridlines/>
        <c:numFmt formatCode="General" sourceLinked="1"/>
        <c:majorTickMark val="out"/>
        <c:minorTickMark val="none"/>
        <c:tickLblPos val="nextTo"/>
        <c:crossAx val="54289152"/>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0-E271-4D56-9245-48A5567AACA4}"/>
            </c:ext>
          </c:extLst>
        </c:ser>
        <c:ser>
          <c:idx val="1"/>
          <c:order val="1"/>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1-E271-4D56-9245-48A5567AACA4}"/>
            </c:ext>
          </c:extLst>
        </c:ser>
        <c:ser>
          <c:idx val="2"/>
          <c:order val="2"/>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2-E271-4D56-9245-48A5567AACA4}"/>
            </c:ext>
          </c:extLst>
        </c:ser>
        <c:ser>
          <c:idx val="3"/>
          <c:order val="3"/>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3-E271-4D56-9245-48A5567AACA4}"/>
            </c:ext>
          </c:extLst>
        </c:ser>
        <c:ser>
          <c:idx val="4"/>
          <c:order val="4"/>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4-E271-4D56-9245-48A5567AACA4}"/>
            </c:ext>
          </c:extLst>
        </c:ser>
        <c:ser>
          <c:idx val="5"/>
          <c:order val="5"/>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5-E271-4D56-9245-48A5567AACA4}"/>
            </c:ext>
          </c:extLst>
        </c:ser>
        <c:ser>
          <c:idx val="6"/>
          <c:order val="6"/>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6-E271-4D56-9245-48A5567AACA4}"/>
            </c:ext>
          </c:extLst>
        </c:ser>
        <c:ser>
          <c:idx val="7"/>
          <c:order val="7"/>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7-E271-4D56-9245-48A5567AACA4}"/>
            </c:ext>
          </c:extLst>
        </c:ser>
        <c:ser>
          <c:idx val="8"/>
          <c:order val="8"/>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8-E271-4D56-9245-48A5567AACA4}"/>
            </c:ext>
          </c:extLst>
        </c:ser>
        <c:ser>
          <c:idx val="9"/>
          <c:order val="9"/>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9-E271-4D56-9245-48A5567AACA4}"/>
            </c:ext>
          </c:extLst>
        </c:ser>
        <c:ser>
          <c:idx val="10"/>
          <c:order val="10"/>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A-E271-4D56-9245-48A5567AACA4}"/>
            </c:ext>
          </c:extLst>
        </c:ser>
        <c:ser>
          <c:idx val="11"/>
          <c:order val="11"/>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B-E271-4D56-9245-48A5567AACA4}"/>
            </c:ext>
          </c:extLst>
        </c:ser>
        <c:ser>
          <c:idx val="12"/>
          <c:order val="12"/>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C-E271-4D56-9245-48A5567AACA4}"/>
            </c:ext>
          </c:extLst>
        </c:ser>
        <c:ser>
          <c:idx val="13"/>
          <c:order val="13"/>
          <c:invertIfNegative val="0"/>
          <c:val>
            <c:numRef>
              <c:f>'T 7'!#REF!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 7'!#REF!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'T 7'!#REF!</c15:sqref>
                        </c15:formulaRef>
                      </c:ext>
                    </c:extLst>
                  </c:multiLvlStrRef>
                </c15:cat>
              </c15:filteredCategoryTitle>
            </c:ext>
            <c:ext xmlns:c16="http://schemas.microsoft.com/office/drawing/2014/chart" uri="{C3380CC4-5D6E-409C-BE32-E72D297353CC}">
              <c16:uniqueId val="{0000000D-E271-4D56-9245-48A5567AACA4}"/>
            </c:ext>
          </c:extLst>
        </c:ser>
        <c:dLbls>
          <c:showLegendKey val="0"/>
          <c:showVal val="0"/>
          <c:showCatName val="0"/>
          <c:showSerName val="0"/>
          <c:showPercent val="0"/>
          <c:showBubbleSize val="0"/>
        </c:dLbls>
        <c:gapWidth val="150"/>
        <c:axId val="57066240"/>
        <c:axId val="57067776"/>
      </c:barChart>
      <c:catAx>
        <c:axId val="57066240"/>
        <c:scaling>
          <c:orientation val="minMax"/>
        </c:scaling>
        <c:delete val="0"/>
        <c:axPos val="b"/>
        <c:numFmt formatCode="General" sourceLinked="1"/>
        <c:majorTickMark val="out"/>
        <c:minorTickMark val="none"/>
        <c:tickLblPos val="nextTo"/>
        <c:crossAx val="57067776"/>
        <c:crosses val="autoZero"/>
        <c:auto val="1"/>
        <c:lblAlgn val="ctr"/>
        <c:lblOffset val="100"/>
        <c:noMultiLvlLbl val="0"/>
      </c:catAx>
      <c:valAx>
        <c:axId val="57067776"/>
        <c:scaling>
          <c:orientation val="minMax"/>
        </c:scaling>
        <c:delete val="0"/>
        <c:axPos val="l"/>
        <c:majorGridlines/>
        <c:numFmt formatCode="General" sourceLinked="1"/>
        <c:majorTickMark val="out"/>
        <c:minorTickMark val="none"/>
        <c:tickLblPos val="nextTo"/>
        <c:crossAx val="57066240"/>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9524</xdr:colOff>
      <xdr:row>12</xdr:row>
      <xdr:rowOff>0</xdr:rowOff>
    </xdr:from>
    <xdr:to>
      <xdr:col>10</xdr:col>
      <xdr:colOff>3619499</xdr:colOff>
      <xdr:row>13</xdr:row>
      <xdr:rowOff>19050</xdr:rowOff>
    </xdr:to>
    <xdr:sp macro="" textlink="">
      <xdr:nvSpPr>
        <xdr:cNvPr id="1063" name="Rectangle 1"/>
        <xdr:cNvSpPr>
          <a:spLocks noChangeArrowheads="1"/>
        </xdr:cNvSpPr>
      </xdr:nvSpPr>
      <xdr:spPr bwMode="auto">
        <a:xfrm>
          <a:off x="9524" y="1885950"/>
          <a:ext cx="9144000" cy="114300"/>
        </a:xfrm>
        <a:prstGeom prst="rect">
          <a:avLst/>
        </a:prstGeom>
        <a:solidFill>
          <a:srgbClr xmlns:mc="http://schemas.openxmlformats.org/markup-compatibility/2006" xmlns:a14="http://schemas.microsoft.com/office/drawing/2010/main" val="545F60" mc:Ignorable="a14" a14:legacySpreadsheetColorIndex="21"/>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123824</xdr:colOff>
      <xdr:row>14</xdr:row>
      <xdr:rowOff>0</xdr:rowOff>
    </xdr:from>
    <xdr:to>
      <xdr:col>8</xdr:col>
      <xdr:colOff>0</xdr:colOff>
      <xdr:row>14</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123824</xdr:colOff>
      <xdr:row>14</xdr:row>
      <xdr:rowOff>0</xdr:rowOff>
    </xdr:from>
    <xdr:to>
      <xdr:col>7</xdr:col>
      <xdr:colOff>0</xdr:colOff>
      <xdr:row>14</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xdr:col>
      <xdr:colOff>47625</xdr:colOff>
      <xdr:row>15</xdr:row>
      <xdr:rowOff>23811</xdr:rowOff>
    </xdr:from>
    <xdr:to>
      <xdr:col>12</xdr:col>
      <xdr:colOff>142875</xdr:colOff>
      <xdr:row>46</xdr:row>
      <xdr:rowOff>114299</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0.87648</cdr:x>
      <cdr:y>0.96086</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7688930" y="4910148"/>
          <a:ext cx="1083595" cy="2000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4.xml><?xml version="1.0" encoding="utf-8"?>
<xdr:wsDr xmlns:xdr="http://schemas.openxmlformats.org/drawingml/2006/spreadsheetDrawing" xmlns:a="http://schemas.openxmlformats.org/drawingml/2006/main">
  <xdr:twoCellAnchor>
    <xdr:from>
      <xdr:col>1</xdr:col>
      <xdr:colOff>9525</xdr:colOff>
      <xdr:row>15</xdr:row>
      <xdr:rowOff>9526</xdr:rowOff>
    </xdr:from>
    <xdr:to>
      <xdr:col>11</xdr:col>
      <xdr:colOff>571500</xdr:colOff>
      <xdr:row>46</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0.87402</cdr:x>
      <cdr:y>0.9606</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7517480" y="4876809"/>
          <a:ext cx="1083595" cy="2000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6.xml><?xml version="1.0" encoding="utf-8"?>
<xdr:wsDr xmlns:xdr="http://schemas.openxmlformats.org/drawingml/2006/spreadsheetDrawing" xmlns:a="http://schemas.openxmlformats.org/drawingml/2006/main">
  <xdr:twoCellAnchor>
    <xdr:from>
      <xdr:col>0</xdr:col>
      <xdr:colOff>123824</xdr:colOff>
      <xdr:row>17</xdr:row>
      <xdr:rowOff>0</xdr:rowOff>
    </xdr:from>
    <xdr:to>
      <xdr:col>10</xdr:col>
      <xdr:colOff>0</xdr:colOff>
      <xdr:row>17</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1</xdr:colOff>
      <xdr:row>17</xdr:row>
      <xdr:rowOff>128587</xdr:rowOff>
    </xdr:from>
    <xdr:to>
      <xdr:col>10</xdr:col>
      <xdr:colOff>612776</xdr:colOff>
      <xdr:row>46</xdr:row>
      <xdr:rowOff>62192</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0.86914</cdr:x>
      <cdr:y>0.95679</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7196827" y="4429392"/>
          <a:ext cx="1083573" cy="2000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9.xml><?xml version="1.0" encoding="utf-8"?>
<xdr:wsDr xmlns:xdr="http://schemas.openxmlformats.org/drawingml/2006/spreadsheetDrawing" xmlns:a="http://schemas.openxmlformats.org/drawingml/2006/main">
  <xdr:twoCellAnchor>
    <xdr:from>
      <xdr:col>1</xdr:col>
      <xdr:colOff>38100</xdr:colOff>
      <xdr:row>19</xdr:row>
      <xdr:rowOff>138112</xdr:rowOff>
    </xdr:from>
    <xdr:to>
      <xdr:col>9</xdr:col>
      <xdr:colOff>619125</xdr:colOff>
      <xdr:row>45</xdr:row>
      <xdr:rowOff>76200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xdr:colOff>
      <xdr:row>39</xdr:row>
      <xdr:rowOff>71437</xdr:rowOff>
    </xdr:from>
    <xdr:to>
      <xdr:col>9</xdr:col>
      <xdr:colOff>200025</xdr:colOff>
      <xdr:row>68</xdr:row>
      <xdr:rowOff>123825</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c:userShapes xmlns:c="http://schemas.openxmlformats.org/drawingml/2006/chart">
  <cdr:relSizeAnchor xmlns:cdr="http://schemas.openxmlformats.org/drawingml/2006/chartDrawing">
    <cdr:from>
      <cdr:x>0.85168</cdr:x>
      <cdr:y>0.95178</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6222080" y="3948123"/>
          <a:ext cx="1083595" cy="2000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21.xml><?xml version="1.0" encoding="utf-8"?>
<xdr:wsDr xmlns:xdr="http://schemas.openxmlformats.org/drawingml/2006/spreadsheetDrawing" xmlns:a="http://schemas.openxmlformats.org/drawingml/2006/main">
  <xdr:twoCellAnchor editAs="oneCell">
    <xdr:from>
      <xdr:col>1</xdr:col>
      <xdr:colOff>314324</xdr:colOff>
      <xdr:row>2</xdr:row>
      <xdr:rowOff>9525</xdr:rowOff>
    </xdr:from>
    <xdr:to>
      <xdr:col>11</xdr:col>
      <xdr:colOff>645855</xdr:colOff>
      <xdr:row>52</xdr:row>
      <xdr:rowOff>85725</xdr:rowOff>
    </xdr:to>
    <xdr:pic>
      <xdr:nvPicPr>
        <xdr:cNvPr id="4" name="Grafik 3"/>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6049"/>
        <a:stretch/>
      </xdr:blipFill>
      <xdr:spPr>
        <a:xfrm>
          <a:off x="447674" y="371475"/>
          <a:ext cx="7951531" cy="8172450"/>
        </a:xfrm>
        <a:prstGeom prst="rect">
          <a:avLst/>
        </a:prstGeom>
      </xdr:spPr>
    </xdr:pic>
    <xdr:clientData/>
  </xdr:twoCellAnchor>
</xdr:wsDr>
</file>

<file path=xl/drawings/drawing3.xml><?xml version="1.0" encoding="utf-8"?>
<c:userShapes xmlns:c="http://schemas.openxmlformats.org/drawingml/2006/chart">
  <cdr:relSizeAnchor xmlns:cdr="http://schemas.openxmlformats.org/drawingml/2006/chartDrawing">
    <cdr:from>
      <cdr:x>0.86024</cdr:x>
      <cdr:y>0.95536</cdr:y>
    </cdr:from>
    <cdr:to>
      <cdr:x>1</cdr:x>
      <cdr:y>0.99642</cdr:y>
    </cdr:to>
    <cdr:sp macro="" textlink="">
      <cdr:nvSpPr>
        <cdr:cNvPr id="2" name="Text Box 1"/>
        <cdr:cNvSpPr txBox="1">
          <a:spLocks xmlns:a="http://schemas.openxmlformats.org/drawingml/2006/main" noChangeArrowheads="1"/>
        </cdr:cNvSpPr>
      </cdr:nvSpPr>
      <cdr:spPr bwMode="auto">
        <a:xfrm xmlns:a="http://schemas.openxmlformats.org/drawingml/2006/main">
          <a:off x="6669742" y="4654550"/>
          <a:ext cx="1083608" cy="2000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123824</xdr:colOff>
      <xdr:row>12</xdr:row>
      <xdr:rowOff>0</xdr:rowOff>
    </xdr:from>
    <xdr:to>
      <xdr:col>8</xdr:col>
      <xdr:colOff>0</xdr:colOff>
      <xdr:row>12</xdr:row>
      <xdr:rowOff>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123824</xdr:colOff>
      <xdr:row>12</xdr:row>
      <xdr:rowOff>0</xdr:rowOff>
    </xdr:from>
    <xdr:to>
      <xdr:col>8</xdr:col>
      <xdr:colOff>0</xdr:colOff>
      <xdr:row>12</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123825</xdr:colOff>
      <xdr:row>40</xdr:row>
      <xdr:rowOff>42862</xdr:rowOff>
    </xdr:from>
    <xdr:to>
      <xdr:col>7</xdr:col>
      <xdr:colOff>752475</xdr:colOff>
      <xdr:row>66</xdr:row>
      <xdr:rowOff>76200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114300</xdr:colOff>
      <xdr:row>68</xdr:row>
      <xdr:rowOff>142875</xdr:rowOff>
    </xdr:from>
    <xdr:to>
      <xdr:col>7</xdr:col>
      <xdr:colOff>771525</xdr:colOff>
      <xdr:row>94</xdr:row>
      <xdr:rowOff>95250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0.86024</cdr:x>
      <cdr:y>0.95527</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6669755" y="4271973"/>
          <a:ext cx="1083595" cy="2000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dr:relSizeAnchor xmlns:cdr="http://schemas.openxmlformats.org/drawingml/2006/chartDrawing">
    <cdr:from>
      <cdr:x>0.86024</cdr:x>
      <cdr:y>0.95527</cdr:y>
    </cdr:from>
    <cdr:to>
      <cdr:x>1</cdr:x>
      <cdr:y>1</cdr:y>
    </cdr:to>
    <cdr:sp macro="" textlink="">
      <cdr:nvSpPr>
        <cdr:cNvPr id="3" name="Text Box 1"/>
        <cdr:cNvSpPr txBox="1">
          <a:spLocks xmlns:a="http://schemas.openxmlformats.org/drawingml/2006/main" noChangeArrowheads="1"/>
        </cdr:cNvSpPr>
      </cdr:nvSpPr>
      <cdr:spPr bwMode="auto">
        <a:xfrm xmlns:a="http://schemas.openxmlformats.org/drawingml/2006/main">
          <a:off x="6669755" y="4271973"/>
          <a:ext cx="1083595" cy="2000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7.xml><?xml version="1.0" encoding="utf-8"?>
<c:userShapes xmlns:c="http://schemas.openxmlformats.org/drawingml/2006/chart">
  <cdr:relSizeAnchor xmlns:cdr="http://schemas.openxmlformats.org/drawingml/2006/chartDrawing">
    <cdr:from>
      <cdr:x>0.86075</cdr:x>
      <cdr:y>0.95445</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6698330" y="4191010"/>
          <a:ext cx="1083595" cy="2000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123824</xdr:colOff>
      <xdr:row>13</xdr:row>
      <xdr:rowOff>0</xdr:rowOff>
    </xdr:from>
    <xdr:to>
      <xdr:col>8</xdr:col>
      <xdr:colOff>0</xdr:colOff>
      <xdr:row>13</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123824</xdr:colOff>
      <xdr:row>13</xdr:row>
      <xdr:rowOff>0</xdr:rowOff>
    </xdr:from>
    <xdr:to>
      <xdr:col>8</xdr:col>
      <xdr:colOff>0</xdr:colOff>
      <xdr:row>13</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ch/statistik" TargetMode="Externa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73"/>
  <sheetViews>
    <sheetView showGridLines="0" tabSelected="1" view="pageBreakPreview" zoomScaleNormal="100" zoomScaleSheetLayoutView="100" workbookViewId="0">
      <selection activeCell="E9" sqref="E9"/>
    </sheetView>
  </sheetViews>
  <sheetFormatPr baseColWidth="10" defaultRowHeight="12.75" x14ac:dyDescent="0.2"/>
  <cols>
    <col min="1" max="1" width="1.5703125" style="2" customWidth="1"/>
    <col min="2" max="2" width="7.42578125" style="2" customWidth="1"/>
    <col min="3" max="3" width="4.28515625" style="13" customWidth="1"/>
    <col min="4" max="4" width="2.140625" style="2" customWidth="1"/>
    <col min="5" max="10" width="11.42578125" style="2"/>
    <col min="11" max="11" width="54.85546875" style="2" customWidth="1"/>
    <col min="12" max="16384" width="11.42578125" style="2"/>
  </cols>
  <sheetData>
    <row r="1" spans="1:28" x14ac:dyDescent="0.2">
      <c r="A1" s="15" t="s">
        <v>8</v>
      </c>
      <c r="B1" s="15"/>
      <c r="C1" s="16"/>
      <c r="D1" s="15"/>
      <c r="E1" s="15"/>
      <c r="K1" s="3"/>
    </row>
    <row r="2" spans="1:28" ht="12" customHeight="1" x14ac:dyDescent="0.2">
      <c r="A2" s="233" t="s">
        <v>6</v>
      </c>
      <c r="B2" s="233"/>
      <c r="C2" s="233"/>
      <c r="D2" s="233"/>
      <c r="E2" s="233"/>
    </row>
    <row r="3" spans="1:28" x14ac:dyDescent="0.2">
      <c r="A3" s="15" t="s">
        <v>7</v>
      </c>
      <c r="B3" s="15"/>
      <c r="C3" s="16"/>
      <c r="D3" s="15"/>
      <c r="E3" s="15"/>
    </row>
    <row r="4" spans="1:28" x14ac:dyDescent="0.2">
      <c r="A4" s="17"/>
      <c r="B4" s="17"/>
      <c r="C4" s="18"/>
      <c r="D4" s="17"/>
      <c r="E4" s="17"/>
    </row>
    <row r="5" spans="1:28" s="4" customFormat="1" ht="12" x14ac:dyDescent="0.2"/>
    <row r="6" spans="1:28" s="4" customFormat="1" ht="12" x14ac:dyDescent="0.2"/>
    <row r="7" spans="1:28" s="4" customFormat="1" ht="12" x14ac:dyDescent="0.2"/>
    <row r="11" spans="1:28" ht="20.25" x14ac:dyDescent="0.3">
      <c r="K11" s="5" t="s">
        <v>619</v>
      </c>
    </row>
    <row r="12" spans="1:28" ht="3.75" customHeight="1" x14ac:dyDescent="0.3">
      <c r="K12" s="5"/>
    </row>
    <row r="13" spans="1:28" ht="7.5" customHeight="1" x14ac:dyDescent="0.2"/>
    <row r="14" spans="1:28" ht="8.25" customHeight="1" x14ac:dyDescent="0.2"/>
    <row r="15" spans="1:28" ht="8.25" customHeight="1" x14ac:dyDescent="0.2"/>
    <row r="16" spans="1:28" ht="16.5" customHeight="1" x14ac:dyDescent="0.2">
      <c r="AA16" s="49"/>
      <c r="AB16" s="54"/>
    </row>
    <row r="17" spans="1:37" ht="16.5" customHeight="1" x14ac:dyDescent="0.25">
      <c r="A17" s="55" t="s">
        <v>5</v>
      </c>
      <c r="B17" s="56"/>
      <c r="C17" s="2"/>
      <c r="AA17" s="55"/>
      <c r="AB17" s="56"/>
    </row>
    <row r="18" spans="1:37" ht="15.75" x14ac:dyDescent="0.25">
      <c r="A18" s="55"/>
      <c r="B18" s="56"/>
      <c r="C18" s="2"/>
      <c r="AA18" s="49"/>
      <c r="AB18" s="54"/>
    </row>
    <row r="19" spans="1:37" x14ac:dyDescent="0.2">
      <c r="B19" s="57" t="s">
        <v>620</v>
      </c>
      <c r="C19" s="54"/>
      <c r="AB19" s="49"/>
      <c r="AC19" s="50"/>
      <c r="AD19" s="51"/>
      <c r="AE19" s="234"/>
      <c r="AF19" s="230"/>
      <c r="AG19" s="230"/>
      <c r="AH19" s="230"/>
      <c r="AI19" s="230"/>
      <c r="AJ19" s="230"/>
      <c r="AK19" s="230"/>
    </row>
    <row r="20" spans="1:37" ht="12.75" customHeight="1" x14ac:dyDescent="0.2">
      <c r="B20" s="49" t="s">
        <v>9</v>
      </c>
      <c r="C20" s="128" t="s">
        <v>21</v>
      </c>
      <c r="D20" s="51"/>
      <c r="E20" s="234" t="s">
        <v>621</v>
      </c>
      <c r="F20" s="230"/>
      <c r="G20" s="230"/>
      <c r="H20" s="230"/>
      <c r="I20" s="230"/>
      <c r="J20" s="230"/>
      <c r="K20" s="230"/>
      <c r="AB20" s="49"/>
      <c r="AC20" s="50"/>
      <c r="AD20" s="51"/>
      <c r="AE20" s="234"/>
      <c r="AF20" s="230"/>
      <c r="AG20" s="230"/>
      <c r="AH20" s="230"/>
      <c r="AI20" s="230"/>
      <c r="AJ20" s="230"/>
      <c r="AK20" s="230"/>
    </row>
    <row r="21" spans="1:37" x14ac:dyDescent="0.2">
      <c r="B21" s="49" t="s">
        <v>9</v>
      </c>
      <c r="C21" s="128" t="s">
        <v>22</v>
      </c>
      <c r="D21" s="51"/>
      <c r="E21" s="234" t="s">
        <v>623</v>
      </c>
      <c r="F21" s="230"/>
      <c r="G21" s="230"/>
      <c r="H21" s="230"/>
      <c r="I21" s="230"/>
      <c r="J21" s="230"/>
      <c r="K21" s="230"/>
      <c r="AB21" s="49"/>
      <c r="AC21" s="50"/>
      <c r="AD21" s="51"/>
      <c r="AE21" s="230"/>
      <c r="AF21" s="230"/>
      <c r="AG21" s="230"/>
      <c r="AH21" s="230"/>
      <c r="AI21" s="230"/>
      <c r="AJ21" s="230"/>
      <c r="AK21" s="230"/>
    </row>
    <row r="22" spans="1:37" x14ac:dyDescent="0.2">
      <c r="B22" s="49"/>
      <c r="C22" s="50"/>
      <c r="D22" s="51"/>
      <c r="E22" s="58"/>
      <c r="F22" s="59"/>
      <c r="G22" s="59"/>
      <c r="H22" s="59"/>
      <c r="I22" s="59"/>
      <c r="J22" s="59"/>
      <c r="K22" s="59"/>
      <c r="AB22" s="49"/>
      <c r="AC22" s="50"/>
      <c r="AD22" s="51"/>
      <c r="AE22" s="230"/>
      <c r="AF22" s="230"/>
      <c r="AG22" s="230"/>
      <c r="AH22" s="230"/>
      <c r="AI22" s="230"/>
      <c r="AJ22" s="230"/>
      <c r="AK22" s="230"/>
    </row>
    <row r="23" spans="1:37" ht="12.75" customHeight="1" x14ac:dyDescent="0.2">
      <c r="B23" s="57" t="s">
        <v>27</v>
      </c>
      <c r="C23" s="50"/>
      <c r="D23" s="51"/>
      <c r="E23" s="58"/>
      <c r="F23" s="59"/>
      <c r="G23" s="59"/>
      <c r="H23" s="59"/>
      <c r="I23" s="59"/>
      <c r="J23" s="59"/>
      <c r="K23" s="59"/>
      <c r="AB23" s="49"/>
      <c r="AC23" s="50"/>
      <c r="AD23" s="51"/>
      <c r="AE23" s="230"/>
      <c r="AF23" s="230"/>
      <c r="AG23" s="230"/>
      <c r="AH23" s="230"/>
      <c r="AI23" s="230"/>
      <c r="AJ23" s="230"/>
      <c r="AK23" s="230"/>
    </row>
    <row r="24" spans="1:37" ht="12.75" customHeight="1" x14ac:dyDescent="0.2">
      <c r="B24" s="49" t="s">
        <v>9</v>
      </c>
      <c r="C24" s="128" t="s">
        <v>23</v>
      </c>
      <c r="D24" s="51"/>
      <c r="E24" s="230" t="s">
        <v>624</v>
      </c>
      <c r="F24" s="230"/>
      <c r="G24" s="230"/>
      <c r="H24" s="230"/>
      <c r="I24" s="230"/>
      <c r="J24" s="230"/>
      <c r="K24" s="230"/>
      <c r="AB24" s="49"/>
      <c r="AC24" s="50"/>
      <c r="AD24" s="51"/>
      <c r="AE24" s="231"/>
      <c r="AF24" s="231"/>
      <c r="AG24" s="231"/>
      <c r="AH24" s="231"/>
      <c r="AI24" s="231"/>
      <c r="AJ24" s="231"/>
      <c r="AK24" s="231"/>
    </row>
    <row r="25" spans="1:37" x14ac:dyDescent="0.2">
      <c r="B25" s="49" t="s">
        <v>9</v>
      </c>
      <c r="C25" s="128" t="s">
        <v>24</v>
      </c>
      <c r="D25" s="51"/>
      <c r="E25" s="230" t="s">
        <v>625</v>
      </c>
      <c r="F25" s="230"/>
      <c r="G25" s="230"/>
      <c r="H25" s="230"/>
      <c r="I25" s="230"/>
      <c r="J25" s="230"/>
      <c r="K25" s="230"/>
      <c r="AB25" s="49"/>
      <c r="AC25" s="60"/>
      <c r="AD25" s="51"/>
      <c r="AE25" s="231"/>
      <c r="AF25" s="231"/>
      <c r="AG25" s="231"/>
      <c r="AH25" s="231"/>
      <c r="AI25" s="231"/>
      <c r="AJ25" s="231"/>
      <c r="AK25" s="231"/>
    </row>
    <row r="26" spans="1:37" x14ac:dyDescent="0.2">
      <c r="B26" s="49" t="s">
        <v>9</v>
      </c>
      <c r="C26" s="128" t="s">
        <v>25</v>
      </c>
      <c r="D26" s="51"/>
      <c r="E26" s="230" t="s">
        <v>626</v>
      </c>
      <c r="F26" s="230"/>
      <c r="G26" s="230"/>
      <c r="H26" s="230"/>
      <c r="I26" s="230"/>
      <c r="J26" s="230"/>
      <c r="K26" s="230"/>
      <c r="AB26" s="49"/>
      <c r="AC26" s="60"/>
      <c r="AD26" s="51"/>
      <c r="AE26" s="53"/>
      <c r="AF26" s="53"/>
      <c r="AG26" s="53"/>
      <c r="AH26" s="53"/>
      <c r="AI26" s="53"/>
      <c r="AJ26" s="53"/>
      <c r="AK26" s="53"/>
    </row>
    <row r="27" spans="1:37" x14ac:dyDescent="0.2">
      <c r="B27" s="49"/>
      <c r="C27" s="128"/>
      <c r="D27" s="51"/>
      <c r="E27" s="72"/>
      <c r="F27" s="72"/>
      <c r="G27" s="72"/>
      <c r="H27" s="72"/>
      <c r="I27" s="72"/>
      <c r="J27" s="72"/>
      <c r="K27" s="72"/>
      <c r="AB27" s="49"/>
      <c r="AC27" s="60"/>
      <c r="AD27" s="51"/>
      <c r="AE27" s="71"/>
      <c r="AF27" s="71"/>
      <c r="AG27" s="71"/>
      <c r="AH27" s="71"/>
      <c r="AI27" s="71"/>
      <c r="AJ27" s="71"/>
      <c r="AK27" s="71"/>
    </row>
    <row r="28" spans="1:37" x14ac:dyDescent="0.2">
      <c r="B28" s="57" t="s">
        <v>679</v>
      </c>
      <c r="C28" s="128"/>
      <c r="D28" s="51"/>
      <c r="E28" s="72"/>
      <c r="F28" s="72"/>
      <c r="G28" s="72"/>
      <c r="H28" s="72"/>
      <c r="I28" s="72"/>
      <c r="J28" s="72"/>
      <c r="K28" s="72"/>
      <c r="AB28" s="49"/>
      <c r="AC28" s="60"/>
      <c r="AD28" s="51"/>
      <c r="AE28" s="71"/>
      <c r="AF28" s="71"/>
      <c r="AG28" s="71"/>
      <c r="AH28" s="71"/>
      <c r="AI28" s="71"/>
      <c r="AJ28" s="71"/>
      <c r="AK28" s="71"/>
    </row>
    <row r="29" spans="1:37" x14ac:dyDescent="0.2">
      <c r="B29" s="49" t="s">
        <v>9</v>
      </c>
      <c r="C29" s="128" t="s">
        <v>383</v>
      </c>
      <c r="D29" s="49"/>
      <c r="E29" s="230" t="s">
        <v>627</v>
      </c>
      <c r="F29" s="230"/>
      <c r="G29" s="230"/>
      <c r="H29" s="230"/>
      <c r="I29" s="230"/>
      <c r="J29" s="230"/>
      <c r="K29" s="230"/>
      <c r="AB29" s="49"/>
      <c r="AC29" s="60"/>
      <c r="AD29" s="51"/>
      <c r="AE29" s="63"/>
      <c r="AF29" s="63"/>
      <c r="AG29" s="63"/>
      <c r="AH29" s="63"/>
      <c r="AI29" s="63"/>
      <c r="AJ29" s="63"/>
      <c r="AK29" s="63"/>
    </row>
    <row r="30" spans="1:37" x14ac:dyDescent="0.2">
      <c r="B30" s="49" t="s">
        <v>9</v>
      </c>
      <c r="C30" s="128" t="s">
        <v>384</v>
      </c>
      <c r="D30" s="51"/>
      <c r="E30" s="230" t="s">
        <v>628</v>
      </c>
      <c r="F30" s="230"/>
      <c r="G30" s="230"/>
      <c r="H30" s="230"/>
      <c r="I30" s="230"/>
      <c r="J30" s="230"/>
      <c r="K30" s="230"/>
      <c r="AB30" s="49"/>
      <c r="AC30" s="50"/>
      <c r="AD30" s="51"/>
      <c r="AE30" s="231"/>
      <c r="AF30" s="231"/>
      <c r="AG30" s="231"/>
      <c r="AH30" s="231"/>
      <c r="AI30" s="231"/>
      <c r="AJ30" s="231"/>
      <c r="AK30" s="231"/>
    </row>
    <row r="31" spans="1:37" x14ac:dyDescent="0.2">
      <c r="B31" s="49" t="s">
        <v>9</v>
      </c>
      <c r="C31" s="128" t="s">
        <v>385</v>
      </c>
      <c r="D31" s="51"/>
      <c r="E31" s="230" t="s">
        <v>629</v>
      </c>
      <c r="F31" s="230"/>
      <c r="G31" s="230"/>
      <c r="H31" s="230"/>
      <c r="I31" s="230"/>
      <c r="J31" s="230"/>
      <c r="K31" s="230"/>
      <c r="AB31" s="49"/>
      <c r="AC31" s="50"/>
      <c r="AD31" s="51"/>
      <c r="AE31" s="231"/>
      <c r="AF31" s="231"/>
      <c r="AG31" s="231"/>
      <c r="AH31" s="231"/>
      <c r="AI31" s="231"/>
      <c r="AJ31" s="231"/>
      <c r="AK31" s="231"/>
    </row>
    <row r="32" spans="1:37" x14ac:dyDescent="0.2">
      <c r="B32" s="49" t="s">
        <v>9</v>
      </c>
      <c r="C32" s="128" t="s">
        <v>386</v>
      </c>
      <c r="D32" s="51"/>
      <c r="E32" s="230" t="s">
        <v>630</v>
      </c>
      <c r="F32" s="230"/>
      <c r="G32" s="230"/>
      <c r="H32" s="230"/>
      <c r="I32" s="230"/>
      <c r="J32" s="230"/>
      <c r="K32" s="230"/>
      <c r="AB32" s="49"/>
      <c r="AC32" s="50"/>
      <c r="AD32" s="51"/>
      <c r="AE32" s="231"/>
      <c r="AF32" s="231"/>
      <c r="AG32" s="231"/>
      <c r="AH32" s="231"/>
      <c r="AI32" s="231"/>
      <c r="AJ32" s="231"/>
      <c r="AK32" s="231"/>
    </row>
    <row r="33" spans="2:37" x14ac:dyDescent="0.2">
      <c r="B33" s="49" t="s">
        <v>9</v>
      </c>
      <c r="C33" s="128" t="s">
        <v>387</v>
      </c>
      <c r="D33" s="51"/>
      <c r="E33" s="230" t="s">
        <v>659</v>
      </c>
      <c r="F33" s="230"/>
      <c r="G33" s="230"/>
      <c r="H33" s="230"/>
      <c r="I33" s="230"/>
      <c r="J33" s="230"/>
      <c r="K33" s="230"/>
      <c r="AB33" s="49"/>
      <c r="AC33" s="50"/>
      <c r="AD33" s="51"/>
      <c r="AE33" s="232"/>
      <c r="AF33" s="231"/>
      <c r="AG33" s="231"/>
      <c r="AH33" s="231"/>
      <c r="AI33" s="231"/>
      <c r="AJ33" s="231"/>
      <c r="AK33" s="231"/>
    </row>
    <row r="34" spans="2:37" ht="6" customHeight="1" x14ac:dyDescent="0.2">
      <c r="B34" s="49"/>
      <c r="C34" s="128"/>
      <c r="D34" s="51"/>
      <c r="E34" s="71"/>
      <c r="F34" s="71"/>
      <c r="G34" s="71"/>
      <c r="H34" s="71"/>
      <c r="I34" s="71"/>
      <c r="J34" s="71"/>
      <c r="K34" s="71"/>
      <c r="AB34" s="49"/>
      <c r="AC34" s="50"/>
      <c r="AD34" s="51"/>
      <c r="AE34" s="73"/>
      <c r="AF34" s="71"/>
      <c r="AG34" s="71"/>
      <c r="AH34" s="71"/>
      <c r="AI34" s="71"/>
      <c r="AJ34" s="71"/>
      <c r="AK34" s="71"/>
    </row>
    <row r="35" spans="2:37" x14ac:dyDescent="0.2">
      <c r="B35" s="49" t="s">
        <v>28</v>
      </c>
      <c r="C35" s="128" t="s">
        <v>519</v>
      </c>
      <c r="D35" s="51"/>
      <c r="E35" s="230" t="s">
        <v>631</v>
      </c>
      <c r="F35" s="230"/>
      <c r="G35" s="230"/>
      <c r="H35" s="230"/>
      <c r="I35" s="230"/>
      <c r="J35" s="230"/>
      <c r="K35" s="230"/>
      <c r="AB35" s="49"/>
      <c r="AC35" s="50"/>
      <c r="AD35" s="51"/>
      <c r="AE35" s="73"/>
      <c r="AF35" s="71"/>
      <c r="AG35" s="71"/>
      <c r="AH35" s="71"/>
      <c r="AI35" s="71"/>
      <c r="AJ35" s="71"/>
      <c r="AK35" s="71"/>
    </row>
    <row r="36" spans="2:37" x14ac:dyDescent="0.2">
      <c r="B36" s="49" t="s">
        <v>28</v>
      </c>
      <c r="C36" s="128" t="s">
        <v>520</v>
      </c>
      <c r="D36" s="51"/>
      <c r="E36" s="230" t="s">
        <v>632</v>
      </c>
      <c r="F36" s="230"/>
      <c r="G36" s="230"/>
      <c r="H36" s="230"/>
      <c r="I36" s="230"/>
      <c r="J36" s="230"/>
      <c r="K36" s="230"/>
      <c r="AB36" s="49"/>
      <c r="AC36" s="50"/>
      <c r="AD36" s="51"/>
      <c r="AE36" s="73"/>
      <c r="AF36" s="71"/>
      <c r="AG36" s="71"/>
      <c r="AH36" s="71"/>
      <c r="AI36" s="71"/>
      <c r="AJ36" s="71"/>
      <c r="AK36" s="71"/>
    </row>
    <row r="37" spans="2:37" x14ac:dyDescent="0.2">
      <c r="B37" s="49" t="s">
        <v>28</v>
      </c>
      <c r="C37" s="128" t="s">
        <v>521</v>
      </c>
      <c r="D37" s="51"/>
      <c r="E37" s="230" t="s">
        <v>633</v>
      </c>
      <c r="F37" s="230"/>
      <c r="G37" s="230"/>
      <c r="H37" s="230"/>
      <c r="I37" s="230"/>
      <c r="J37" s="230"/>
      <c r="K37" s="230"/>
      <c r="AB37" s="49"/>
      <c r="AC37" s="50"/>
      <c r="AD37" s="51"/>
      <c r="AE37" s="73"/>
      <c r="AF37" s="71"/>
      <c r="AG37" s="71"/>
      <c r="AH37" s="71"/>
      <c r="AI37" s="71"/>
      <c r="AJ37" s="71"/>
      <c r="AK37" s="71"/>
    </row>
    <row r="38" spans="2:37" x14ac:dyDescent="0.2">
      <c r="B38" s="49" t="s">
        <v>28</v>
      </c>
      <c r="C38" s="128" t="s">
        <v>522</v>
      </c>
      <c r="D38" s="51"/>
      <c r="E38" s="230" t="s">
        <v>634</v>
      </c>
      <c r="F38" s="230"/>
      <c r="G38" s="230"/>
      <c r="H38" s="230"/>
      <c r="I38" s="230"/>
      <c r="J38" s="230"/>
      <c r="K38" s="230"/>
      <c r="AB38" s="49"/>
      <c r="AC38" s="50"/>
      <c r="AD38" s="51"/>
      <c r="AE38" s="73"/>
      <c r="AF38" s="71"/>
      <c r="AG38" s="71"/>
      <c r="AH38" s="71"/>
      <c r="AI38" s="71"/>
      <c r="AJ38" s="71"/>
      <c r="AK38" s="71"/>
    </row>
    <row r="39" spans="2:37" x14ac:dyDescent="0.2">
      <c r="B39" s="49" t="s">
        <v>28</v>
      </c>
      <c r="C39" s="128" t="s">
        <v>523</v>
      </c>
      <c r="D39" s="51"/>
      <c r="E39" s="230" t="s">
        <v>635</v>
      </c>
      <c r="F39" s="230"/>
      <c r="G39" s="230"/>
      <c r="H39" s="230"/>
      <c r="I39" s="230"/>
      <c r="J39" s="230"/>
      <c r="K39" s="230"/>
      <c r="AB39" s="49"/>
      <c r="AC39" s="50"/>
      <c r="AD39" s="51"/>
      <c r="AE39" s="73"/>
      <c r="AF39" s="71"/>
      <c r="AG39" s="71"/>
      <c r="AH39" s="71"/>
      <c r="AI39" s="71"/>
      <c r="AJ39" s="71"/>
      <c r="AK39" s="71"/>
    </row>
    <row r="40" spans="2:37" x14ac:dyDescent="0.2">
      <c r="B40" s="49" t="s">
        <v>28</v>
      </c>
      <c r="C40" s="128" t="s">
        <v>524</v>
      </c>
      <c r="D40" s="51"/>
      <c r="E40" s="230" t="s">
        <v>636</v>
      </c>
      <c r="F40" s="230"/>
      <c r="G40" s="230"/>
      <c r="H40" s="230"/>
      <c r="I40" s="230"/>
      <c r="J40" s="230"/>
      <c r="K40" s="230"/>
      <c r="AB40" s="49"/>
      <c r="AC40" s="50"/>
      <c r="AD40" s="51"/>
      <c r="AE40" s="73"/>
      <c r="AF40" s="71"/>
      <c r="AG40" s="71"/>
      <c r="AH40" s="71"/>
      <c r="AI40" s="71"/>
      <c r="AJ40" s="71"/>
      <c r="AK40" s="71"/>
    </row>
    <row r="41" spans="2:37" x14ac:dyDescent="0.2">
      <c r="B41" s="49" t="s">
        <v>28</v>
      </c>
      <c r="C41" s="128" t="s">
        <v>525</v>
      </c>
      <c r="D41" s="51"/>
      <c r="E41" s="230" t="s">
        <v>637</v>
      </c>
      <c r="F41" s="230"/>
      <c r="G41" s="230"/>
      <c r="H41" s="230"/>
      <c r="I41" s="230"/>
      <c r="J41" s="230"/>
      <c r="K41" s="230"/>
      <c r="AB41" s="49"/>
      <c r="AC41" s="50"/>
      <c r="AD41" s="51"/>
      <c r="AE41" s="162"/>
      <c r="AF41" s="161"/>
      <c r="AG41" s="161"/>
      <c r="AH41" s="161"/>
      <c r="AI41" s="161"/>
      <c r="AJ41" s="161"/>
      <c r="AK41" s="161"/>
    </row>
    <row r="42" spans="2:37" x14ac:dyDescent="0.2">
      <c r="B42" s="49" t="s">
        <v>28</v>
      </c>
      <c r="C42" s="128" t="s">
        <v>526</v>
      </c>
      <c r="D42" s="51"/>
      <c r="E42" s="230" t="s">
        <v>638</v>
      </c>
      <c r="F42" s="230"/>
      <c r="G42" s="230"/>
      <c r="H42" s="230"/>
      <c r="I42" s="230"/>
      <c r="J42" s="230"/>
      <c r="K42" s="230"/>
      <c r="AB42" s="49"/>
      <c r="AC42" s="50"/>
      <c r="AD42" s="51"/>
      <c r="AE42" s="162"/>
      <c r="AF42" s="161"/>
      <c r="AG42" s="161"/>
      <c r="AH42" s="161"/>
      <c r="AI42" s="161"/>
      <c r="AJ42" s="161"/>
      <c r="AK42" s="161"/>
    </row>
    <row r="43" spans="2:37" x14ac:dyDescent="0.2">
      <c r="B43" s="49" t="s">
        <v>28</v>
      </c>
      <c r="C43" s="128" t="s">
        <v>527</v>
      </c>
      <c r="D43" s="51"/>
      <c r="E43" s="230" t="s">
        <v>639</v>
      </c>
      <c r="F43" s="230"/>
      <c r="G43" s="230"/>
      <c r="H43" s="230"/>
      <c r="I43" s="230"/>
      <c r="J43" s="230"/>
      <c r="K43" s="230"/>
      <c r="AB43" s="49"/>
      <c r="AC43" s="50"/>
      <c r="AD43" s="51"/>
      <c r="AE43" s="162"/>
      <c r="AF43" s="161"/>
      <c r="AG43" s="161"/>
      <c r="AH43" s="161"/>
      <c r="AI43" s="161"/>
      <c r="AJ43" s="161"/>
      <c r="AK43" s="161"/>
    </row>
    <row r="44" spans="2:37" x14ac:dyDescent="0.2">
      <c r="B44" s="49" t="s">
        <v>28</v>
      </c>
      <c r="C44" s="128" t="s">
        <v>528</v>
      </c>
      <c r="D44" s="51"/>
      <c r="E44" s="230" t="s">
        <v>640</v>
      </c>
      <c r="F44" s="230"/>
      <c r="G44" s="230"/>
      <c r="H44" s="230"/>
      <c r="I44" s="230"/>
      <c r="J44" s="230"/>
      <c r="K44" s="230"/>
      <c r="AB44" s="49"/>
      <c r="AC44" s="50"/>
      <c r="AD44" s="51"/>
      <c r="AE44" s="162"/>
      <c r="AF44" s="161"/>
      <c r="AG44" s="161"/>
      <c r="AH44" s="161"/>
      <c r="AI44" s="161"/>
      <c r="AJ44" s="161"/>
      <c r="AK44" s="161"/>
    </row>
    <row r="45" spans="2:37" x14ac:dyDescent="0.2">
      <c r="B45" s="49"/>
      <c r="C45" s="128"/>
      <c r="D45" s="51"/>
      <c r="E45" s="71"/>
      <c r="F45" s="71"/>
      <c r="G45" s="71"/>
      <c r="H45" s="71"/>
      <c r="I45" s="71"/>
      <c r="J45" s="71"/>
      <c r="K45" s="71"/>
      <c r="AB45" s="49"/>
      <c r="AC45" s="50"/>
      <c r="AD45" s="51"/>
      <c r="AE45" s="73"/>
      <c r="AF45" s="71"/>
      <c r="AG45" s="71"/>
      <c r="AH45" s="71"/>
      <c r="AI45" s="71"/>
      <c r="AJ45" s="71"/>
      <c r="AK45" s="71"/>
    </row>
    <row r="46" spans="2:37" x14ac:dyDescent="0.2">
      <c r="B46" s="57" t="s">
        <v>680</v>
      </c>
      <c r="C46" s="128"/>
      <c r="D46" s="51"/>
      <c r="E46" s="53"/>
      <c r="F46" s="53"/>
      <c r="G46" s="53"/>
      <c r="H46" s="53"/>
      <c r="I46" s="53"/>
      <c r="J46" s="53"/>
      <c r="K46" s="53"/>
      <c r="AB46" s="49"/>
      <c r="AC46" s="50"/>
      <c r="AD46" s="51"/>
      <c r="AE46" s="231"/>
      <c r="AF46" s="231"/>
      <c r="AG46" s="231"/>
      <c r="AH46" s="231"/>
      <c r="AI46" s="231"/>
      <c r="AJ46" s="231"/>
      <c r="AK46" s="231"/>
    </row>
    <row r="47" spans="2:37" x14ac:dyDescent="0.2">
      <c r="B47" s="49" t="s">
        <v>9</v>
      </c>
      <c r="C47" s="128" t="s">
        <v>109</v>
      </c>
      <c r="D47" s="51"/>
      <c r="E47" s="230" t="s">
        <v>641</v>
      </c>
      <c r="F47" s="230"/>
      <c r="G47" s="230"/>
      <c r="H47" s="230"/>
      <c r="I47" s="230"/>
      <c r="J47" s="230"/>
      <c r="K47" s="230"/>
      <c r="AB47" s="49"/>
      <c r="AC47" s="50"/>
      <c r="AD47" s="51"/>
      <c r="AE47" s="231"/>
      <c r="AF47" s="231"/>
      <c r="AG47" s="231"/>
      <c r="AH47" s="231"/>
      <c r="AI47" s="231"/>
      <c r="AJ47" s="231"/>
      <c r="AK47" s="231"/>
    </row>
    <row r="48" spans="2:37" x14ac:dyDescent="0.2">
      <c r="B48" s="49" t="s">
        <v>9</v>
      </c>
      <c r="C48" s="128" t="s">
        <v>151</v>
      </c>
      <c r="D48" s="51"/>
      <c r="E48" s="230" t="s">
        <v>642</v>
      </c>
      <c r="F48" s="230"/>
      <c r="G48" s="230"/>
      <c r="H48" s="230"/>
      <c r="I48" s="230"/>
      <c r="J48" s="230"/>
      <c r="K48" s="230"/>
      <c r="AB48" s="49"/>
      <c r="AC48" s="50"/>
      <c r="AD48" s="51"/>
      <c r="AE48" s="231"/>
      <c r="AF48" s="231"/>
      <c r="AG48" s="231"/>
      <c r="AH48" s="231"/>
      <c r="AI48" s="231"/>
      <c r="AJ48" s="231"/>
      <c r="AK48" s="231"/>
    </row>
    <row r="49" spans="2:37" x14ac:dyDescent="0.2">
      <c r="B49" s="49" t="s">
        <v>9</v>
      </c>
      <c r="C49" s="128" t="s">
        <v>110</v>
      </c>
      <c r="D49" s="51"/>
      <c r="E49" s="230" t="s">
        <v>643</v>
      </c>
      <c r="F49" s="230"/>
      <c r="G49" s="230"/>
      <c r="H49" s="230"/>
      <c r="I49" s="230"/>
      <c r="J49" s="230"/>
      <c r="K49" s="230"/>
      <c r="AB49" s="49"/>
      <c r="AC49" s="50"/>
      <c r="AD49" s="51"/>
      <c r="AE49" s="231"/>
      <c r="AF49" s="231"/>
      <c r="AG49" s="231"/>
      <c r="AH49" s="231"/>
      <c r="AI49" s="231"/>
      <c r="AJ49" s="231"/>
      <c r="AK49" s="231"/>
    </row>
    <row r="50" spans="2:37" ht="12.75" customHeight="1" x14ac:dyDescent="0.2">
      <c r="B50" s="49" t="s">
        <v>9</v>
      </c>
      <c r="C50" s="128" t="s">
        <v>388</v>
      </c>
      <c r="D50" s="51"/>
      <c r="E50" s="230" t="s">
        <v>644</v>
      </c>
      <c r="F50" s="230"/>
      <c r="G50" s="230"/>
      <c r="H50" s="230"/>
      <c r="I50" s="230"/>
      <c r="J50" s="230"/>
      <c r="K50" s="230"/>
      <c r="AB50" s="49"/>
      <c r="AC50" s="60"/>
      <c r="AD50" s="51"/>
      <c r="AE50" s="71"/>
      <c r="AF50" s="71"/>
      <c r="AG50" s="71"/>
      <c r="AH50" s="71"/>
      <c r="AI50" s="71"/>
      <c r="AJ50" s="71"/>
      <c r="AK50" s="71"/>
    </row>
    <row r="51" spans="2:37" ht="12.75" customHeight="1" x14ac:dyDescent="0.2">
      <c r="B51" s="49" t="s">
        <v>9</v>
      </c>
      <c r="C51" s="128" t="s">
        <v>389</v>
      </c>
      <c r="D51" s="51"/>
      <c r="E51" s="230" t="s">
        <v>645</v>
      </c>
      <c r="F51" s="230"/>
      <c r="G51" s="230"/>
      <c r="H51" s="230"/>
      <c r="I51" s="230"/>
      <c r="J51" s="230"/>
      <c r="K51" s="230"/>
      <c r="AB51" s="49"/>
      <c r="AC51" s="60"/>
      <c r="AD51" s="51"/>
      <c r="AE51" s="71"/>
      <c r="AF51" s="71"/>
      <c r="AG51" s="71"/>
      <c r="AH51" s="71"/>
      <c r="AI51" s="71"/>
      <c r="AJ51" s="71"/>
      <c r="AK51" s="71"/>
    </row>
    <row r="52" spans="2:37" x14ac:dyDescent="0.2">
      <c r="B52" s="49"/>
      <c r="C52" s="128"/>
      <c r="D52" s="51"/>
      <c r="E52" s="77"/>
      <c r="F52" s="77"/>
      <c r="G52" s="77"/>
      <c r="H52" s="77"/>
      <c r="I52" s="77"/>
      <c r="J52" s="77"/>
      <c r="K52" s="77"/>
      <c r="AB52" s="49"/>
      <c r="AC52" s="50"/>
      <c r="AD52" s="51"/>
      <c r="AE52" s="77"/>
      <c r="AF52" s="77"/>
      <c r="AG52" s="77"/>
      <c r="AH52" s="77"/>
      <c r="AI52" s="77"/>
      <c r="AJ52" s="77"/>
      <c r="AK52" s="77"/>
    </row>
    <row r="53" spans="2:37" ht="15" customHeight="1" x14ac:dyDescent="0.2">
      <c r="B53" s="57" t="s">
        <v>681</v>
      </c>
      <c r="C53" s="50"/>
      <c r="D53" s="51"/>
      <c r="E53" s="53"/>
      <c r="F53" s="53"/>
      <c r="G53" s="53"/>
      <c r="H53" s="53"/>
      <c r="I53" s="53"/>
      <c r="J53" s="53"/>
      <c r="K53" s="53"/>
      <c r="AB53" s="49"/>
      <c r="AC53" s="60"/>
      <c r="AD53" s="51"/>
      <c r="AE53" s="231"/>
      <c r="AF53" s="231"/>
      <c r="AG53" s="231"/>
      <c r="AH53" s="231"/>
      <c r="AI53" s="231"/>
      <c r="AJ53" s="231"/>
      <c r="AK53" s="231"/>
    </row>
    <row r="54" spans="2:37" ht="12.75" customHeight="1" x14ac:dyDescent="0.2">
      <c r="B54" s="49" t="s">
        <v>9</v>
      </c>
      <c r="C54" s="128" t="s">
        <v>529</v>
      </c>
      <c r="D54" s="51"/>
      <c r="E54" s="230" t="s">
        <v>646</v>
      </c>
      <c r="F54" s="230"/>
      <c r="G54" s="230"/>
      <c r="H54" s="230"/>
      <c r="I54" s="230"/>
      <c r="J54" s="230"/>
      <c r="K54" s="230"/>
      <c r="AB54" s="49"/>
      <c r="AC54" s="60"/>
      <c r="AD54" s="51"/>
      <c r="AE54" s="231"/>
      <c r="AF54" s="231"/>
      <c r="AG54" s="231"/>
      <c r="AH54" s="231"/>
      <c r="AI54" s="231"/>
      <c r="AJ54" s="231"/>
      <c r="AK54" s="231"/>
    </row>
    <row r="55" spans="2:37" ht="12.75" customHeight="1" x14ac:dyDescent="0.2">
      <c r="B55" s="49" t="s">
        <v>9</v>
      </c>
      <c r="C55" s="128" t="s">
        <v>530</v>
      </c>
      <c r="D55" s="51"/>
      <c r="E55" s="230" t="s">
        <v>647</v>
      </c>
      <c r="F55" s="230"/>
      <c r="G55" s="230"/>
      <c r="H55" s="230"/>
      <c r="I55" s="230"/>
      <c r="J55" s="230"/>
      <c r="K55" s="230"/>
      <c r="AB55" s="49"/>
      <c r="AC55" s="60"/>
      <c r="AD55" s="51"/>
      <c r="AE55" s="142"/>
      <c r="AF55" s="142"/>
      <c r="AG55" s="142"/>
      <c r="AH55" s="142"/>
      <c r="AI55" s="142"/>
      <c r="AJ55" s="142"/>
      <c r="AK55" s="142"/>
    </row>
    <row r="56" spans="2:37" x14ac:dyDescent="0.2">
      <c r="B56" s="49" t="s">
        <v>9</v>
      </c>
      <c r="C56" s="128" t="s">
        <v>467</v>
      </c>
      <c r="D56" s="51"/>
      <c r="E56" s="230" t="s">
        <v>648</v>
      </c>
      <c r="F56" s="230"/>
      <c r="G56" s="230"/>
      <c r="H56" s="230"/>
      <c r="I56" s="230"/>
      <c r="J56" s="230"/>
      <c r="K56" s="230"/>
      <c r="AB56" s="49"/>
      <c r="AC56" s="60"/>
      <c r="AD56" s="51"/>
      <c r="AE56" s="231"/>
      <c r="AF56" s="231"/>
      <c r="AG56" s="231"/>
      <c r="AH56" s="231"/>
      <c r="AI56" s="231"/>
      <c r="AJ56" s="231"/>
      <c r="AK56" s="231"/>
    </row>
    <row r="57" spans="2:37" x14ac:dyDescent="0.2">
      <c r="B57" s="49" t="s">
        <v>9</v>
      </c>
      <c r="C57" s="128" t="s">
        <v>468</v>
      </c>
      <c r="D57" s="51"/>
      <c r="E57" s="230" t="s">
        <v>649</v>
      </c>
      <c r="F57" s="230"/>
      <c r="G57" s="230"/>
      <c r="H57" s="230"/>
      <c r="I57" s="230"/>
      <c r="J57" s="230"/>
      <c r="K57" s="230"/>
      <c r="AB57" s="49"/>
      <c r="AC57" s="60"/>
      <c r="AD57" s="51"/>
      <c r="AE57" s="142"/>
      <c r="AF57" s="142"/>
      <c r="AG57" s="142"/>
      <c r="AH57" s="142"/>
      <c r="AI57" s="142"/>
      <c r="AJ57" s="142"/>
      <c r="AK57" s="142"/>
    </row>
    <row r="58" spans="2:37" ht="12.75" customHeight="1" x14ac:dyDescent="0.2">
      <c r="B58" s="49" t="s">
        <v>9</v>
      </c>
      <c r="C58" s="128" t="s">
        <v>516</v>
      </c>
      <c r="D58" s="51"/>
      <c r="E58" s="230" t="s">
        <v>650</v>
      </c>
      <c r="F58" s="230"/>
      <c r="G58" s="230"/>
      <c r="H58" s="230"/>
      <c r="I58" s="230"/>
      <c r="J58" s="230"/>
      <c r="K58" s="230"/>
      <c r="AB58" s="49"/>
      <c r="AC58" s="60"/>
      <c r="AD58" s="51"/>
      <c r="AE58" s="231"/>
      <c r="AF58" s="231"/>
      <c r="AG58" s="231"/>
      <c r="AH58" s="231"/>
      <c r="AI58" s="231"/>
      <c r="AJ58" s="231"/>
      <c r="AK58" s="231"/>
    </row>
    <row r="59" spans="2:37" ht="12.75" customHeight="1" x14ac:dyDescent="0.2">
      <c r="B59" s="49" t="s">
        <v>9</v>
      </c>
      <c r="C59" s="128" t="s">
        <v>390</v>
      </c>
      <c r="D59" s="51"/>
      <c r="E59" s="230" t="s">
        <v>651</v>
      </c>
      <c r="F59" s="230"/>
      <c r="G59" s="230"/>
      <c r="H59" s="230"/>
      <c r="I59" s="230"/>
      <c r="J59" s="230"/>
      <c r="K59" s="230"/>
      <c r="AB59" s="49"/>
      <c r="AC59" s="60"/>
      <c r="AD59" s="51"/>
      <c r="AE59" s="231"/>
      <c r="AF59" s="231"/>
      <c r="AG59" s="231"/>
      <c r="AH59" s="231"/>
      <c r="AI59" s="231"/>
      <c r="AJ59" s="231"/>
      <c r="AK59" s="231"/>
    </row>
    <row r="60" spans="2:37" ht="12.75" customHeight="1" x14ac:dyDescent="0.2">
      <c r="B60" s="49" t="s">
        <v>9</v>
      </c>
      <c r="C60" s="128" t="s">
        <v>391</v>
      </c>
      <c r="D60" s="51"/>
      <c r="E60" s="230" t="s">
        <v>652</v>
      </c>
      <c r="F60" s="230"/>
      <c r="G60" s="230"/>
      <c r="H60" s="230"/>
      <c r="I60" s="230"/>
      <c r="J60" s="230"/>
      <c r="K60" s="230"/>
      <c r="AB60" s="49"/>
      <c r="AC60" s="60"/>
      <c r="AD60" s="51"/>
      <c r="AE60" s="71"/>
      <c r="AF60" s="71"/>
      <c r="AG60" s="71"/>
      <c r="AH60" s="71"/>
      <c r="AI60" s="71"/>
      <c r="AJ60" s="71"/>
      <c r="AK60" s="71"/>
    </row>
    <row r="61" spans="2:37" ht="12.75" customHeight="1" x14ac:dyDescent="0.2">
      <c r="B61" s="49" t="s">
        <v>9</v>
      </c>
      <c r="C61" s="128" t="s">
        <v>517</v>
      </c>
      <c r="D61" s="51"/>
      <c r="E61" s="230" t="s">
        <v>653</v>
      </c>
      <c r="F61" s="230"/>
      <c r="G61" s="230"/>
      <c r="H61" s="230"/>
      <c r="I61" s="230"/>
      <c r="J61" s="230"/>
      <c r="K61" s="230"/>
      <c r="AB61" s="49"/>
      <c r="AC61" s="60"/>
      <c r="AD61" s="51"/>
      <c r="AE61" s="133"/>
      <c r="AF61" s="133"/>
      <c r="AG61" s="133"/>
      <c r="AH61" s="133"/>
      <c r="AI61" s="133"/>
      <c r="AJ61" s="133"/>
      <c r="AK61" s="133"/>
    </row>
    <row r="62" spans="2:37" ht="12.75" customHeight="1" x14ac:dyDescent="0.2">
      <c r="B62" s="49" t="s">
        <v>9</v>
      </c>
      <c r="C62" s="128" t="s">
        <v>518</v>
      </c>
      <c r="D62" s="51"/>
      <c r="E62" s="230" t="s">
        <v>654</v>
      </c>
      <c r="F62" s="230"/>
      <c r="G62" s="230"/>
      <c r="H62" s="230"/>
      <c r="I62" s="230"/>
      <c r="J62" s="230"/>
      <c r="K62" s="230"/>
      <c r="AB62" s="49"/>
      <c r="AC62" s="60"/>
      <c r="AD62" s="51"/>
      <c r="AE62" s="142"/>
      <c r="AF62" s="142"/>
      <c r="AG62" s="142"/>
      <c r="AH62" s="142"/>
      <c r="AI62" s="142"/>
      <c r="AJ62" s="142"/>
      <c r="AK62" s="142"/>
    </row>
    <row r="63" spans="2:37" x14ac:dyDescent="0.2">
      <c r="B63" s="49"/>
      <c r="C63" s="128"/>
      <c r="D63" s="51"/>
      <c r="E63" s="230"/>
      <c r="F63" s="230"/>
      <c r="G63" s="230"/>
      <c r="H63" s="230"/>
      <c r="I63" s="230"/>
      <c r="J63" s="230"/>
      <c r="K63" s="230"/>
      <c r="AB63" s="49"/>
      <c r="AC63" s="60"/>
      <c r="AD63" s="51"/>
      <c r="AE63" s="231"/>
      <c r="AF63" s="231"/>
      <c r="AG63" s="231"/>
      <c r="AH63" s="231"/>
      <c r="AI63" s="231"/>
      <c r="AJ63" s="231"/>
      <c r="AK63" s="231"/>
    </row>
    <row r="64" spans="2:37" x14ac:dyDescent="0.2">
      <c r="B64" s="57" t="s">
        <v>15</v>
      </c>
      <c r="C64" s="50"/>
      <c r="D64" s="51"/>
      <c r="E64" s="53"/>
      <c r="F64" s="53"/>
      <c r="G64" s="53"/>
      <c r="H64" s="53"/>
      <c r="I64" s="53"/>
      <c r="J64" s="53"/>
      <c r="K64" s="53"/>
    </row>
    <row r="65" spans="2:11" x14ac:dyDescent="0.2">
      <c r="B65" s="49" t="s">
        <v>9</v>
      </c>
      <c r="C65" s="128" t="s">
        <v>531</v>
      </c>
      <c r="D65" s="51"/>
      <c r="E65" s="230" t="s">
        <v>656</v>
      </c>
      <c r="F65" s="230"/>
      <c r="G65" s="230"/>
      <c r="H65" s="230"/>
      <c r="I65" s="230"/>
      <c r="J65" s="230"/>
      <c r="K65" s="230"/>
    </row>
    <row r="66" spans="2:11" x14ac:dyDescent="0.2">
      <c r="B66" s="49" t="s">
        <v>9</v>
      </c>
      <c r="C66" s="128" t="s">
        <v>464</v>
      </c>
      <c r="D66" s="51"/>
      <c r="E66" s="230" t="s">
        <v>657</v>
      </c>
      <c r="F66" s="230"/>
      <c r="G66" s="230"/>
      <c r="H66" s="230"/>
      <c r="I66" s="230"/>
      <c r="J66" s="230"/>
      <c r="K66" s="230"/>
    </row>
    <row r="67" spans="2:11" x14ac:dyDescent="0.2">
      <c r="B67" s="57"/>
      <c r="C67" s="50"/>
      <c r="D67" s="51"/>
      <c r="E67" s="53"/>
      <c r="F67" s="53"/>
      <c r="G67" s="53"/>
      <c r="H67" s="53"/>
      <c r="I67" s="53"/>
      <c r="J67" s="53"/>
      <c r="K67" s="53"/>
    </row>
    <row r="68" spans="2:11" x14ac:dyDescent="0.2">
      <c r="B68" s="57" t="s">
        <v>26</v>
      </c>
      <c r="C68" s="2"/>
      <c r="E68" s="231" t="s">
        <v>660</v>
      </c>
      <c r="F68" s="231"/>
      <c r="G68" s="231"/>
      <c r="H68" s="231"/>
      <c r="I68" s="231"/>
      <c r="J68" s="231"/>
      <c r="K68" s="231"/>
    </row>
    <row r="69" spans="2:11" x14ac:dyDescent="0.2">
      <c r="C69" s="2"/>
    </row>
    <row r="70" spans="2:11" x14ac:dyDescent="0.2">
      <c r="C70" s="2"/>
    </row>
    <row r="71" spans="2:11" ht="15.75" x14ac:dyDescent="0.25">
      <c r="B71" s="64" t="s">
        <v>14</v>
      </c>
      <c r="C71" s="64"/>
      <c r="D71" s="64"/>
      <c r="E71" s="64"/>
      <c r="F71" s="64"/>
      <c r="G71" s="64"/>
      <c r="H71" s="64"/>
      <c r="I71" s="64"/>
      <c r="J71" s="64"/>
      <c r="K71" s="64"/>
    </row>
    <row r="72" spans="2:11" x14ac:dyDescent="0.2">
      <c r="C72" s="2"/>
    </row>
    <row r="73" spans="2:11" x14ac:dyDescent="0.2">
      <c r="C73" s="2"/>
    </row>
  </sheetData>
  <mergeCells count="60">
    <mergeCell ref="E38:K38"/>
    <mergeCell ref="E39:K39"/>
    <mergeCell ref="E50:K50"/>
    <mergeCell ref="E51:K51"/>
    <mergeCell ref="E54:K54"/>
    <mergeCell ref="E25:K25"/>
    <mergeCell ref="E26:K26"/>
    <mergeCell ref="AE25:AK25"/>
    <mergeCell ref="E68:K68"/>
    <mergeCell ref="E65:K65"/>
    <mergeCell ref="E60:K60"/>
    <mergeCell ref="E48:K48"/>
    <mergeCell ref="E30:K30"/>
    <mergeCell ref="E31:K31"/>
    <mergeCell ref="E32:K32"/>
    <mergeCell ref="E33:K33"/>
    <mergeCell ref="E47:K47"/>
    <mergeCell ref="E49:K49"/>
    <mergeCell ref="E35:K35"/>
    <mergeCell ref="E36:K36"/>
    <mergeCell ref="E37:K37"/>
    <mergeCell ref="AE23:AK23"/>
    <mergeCell ref="AE24:AK24"/>
    <mergeCell ref="E20:K20"/>
    <mergeCell ref="E21:K21"/>
    <mergeCell ref="E24:K24"/>
    <mergeCell ref="A2:E2"/>
    <mergeCell ref="AE19:AK19"/>
    <mergeCell ref="AE20:AK20"/>
    <mergeCell ref="AE21:AK21"/>
    <mergeCell ref="AE22:AK22"/>
    <mergeCell ref="AE30:AK30"/>
    <mergeCell ref="AE31:AK31"/>
    <mergeCell ref="AE32:AK32"/>
    <mergeCell ref="AE33:AK33"/>
    <mergeCell ref="E29:K29"/>
    <mergeCell ref="AE53:AK53"/>
    <mergeCell ref="AE56:AK56"/>
    <mergeCell ref="E40:K40"/>
    <mergeCell ref="AE49:AK49"/>
    <mergeCell ref="AE47:AK47"/>
    <mergeCell ref="AE54:AK54"/>
    <mergeCell ref="AE48:AK48"/>
    <mergeCell ref="AE46:AK46"/>
    <mergeCell ref="E56:K56"/>
    <mergeCell ref="E55:K55"/>
    <mergeCell ref="AE59:AK59"/>
    <mergeCell ref="AE63:AK63"/>
    <mergeCell ref="AE58:AK58"/>
    <mergeCell ref="E58:K58"/>
    <mergeCell ref="E59:K59"/>
    <mergeCell ref="E61:K61"/>
    <mergeCell ref="E63:K63"/>
    <mergeCell ref="E66:K66"/>
    <mergeCell ref="E41:K41"/>
    <mergeCell ref="E42:K42"/>
    <mergeCell ref="E43:K43"/>
    <mergeCell ref="E44:K44"/>
    <mergeCell ref="E57:K57"/>
    <mergeCell ref="E62:K62"/>
  </mergeCells>
  <phoneticPr fontId="3" type="noConversion"/>
  <hyperlinks>
    <hyperlink ref="A2" r:id="rId1"/>
    <hyperlink ref="E20:K20" location="'T 1'!A1" display="Entwicklung der Pflichtigenzahl und der durchschnittlichen Einkommen und Vermögen, 2001 – 2011"/>
    <hyperlink ref="E21:K21" location="'T 2'!A1" display="Steuereinnahmen der Gemeinden von juristischen Personen, 2001 – 2011 (Beträge in 1’000 Franken)"/>
    <hyperlink ref="E24:K24" location="'T 3'!A1" display="Abschreibungen und vorgeschriebene Abschreibungen, 2011 und 2012 (in 1'000 Franken)"/>
    <hyperlink ref="E25:K25" location="'T 4'!A1" display="Aufwand der Laufenden Rechnung, 2003 − 2012"/>
    <hyperlink ref="E32:K32" location="'T 9'!A1" display="Zusammensetzung des Reineinkommens und des Reinvermögens nach Familientyp, 2011, in Franken pro Pflichtigen"/>
    <hyperlink ref="E26:K26" location="'T 5'!A1" display="Steuerpflichtige, Faktoren und Steuern nach Renditestufen, 2011"/>
    <hyperlink ref="E29:K29" location="'T 6'!A1" display="Zusammensetzung des Reineinkommens und des Reinvermögens nach Zivilstand, 2011, in Franken pro Pflichtigen"/>
    <hyperlink ref="E31:K31" location="'T 8'!A1" display="Zusammensetzung des Reineinkommens und des Reinvermögens nach Erwerbsart, 2011, in Franken pro Pflichtigen"/>
    <hyperlink ref="E47:K47" location="'T 16'!A1" display="Verteilung der Altersrentnerinnen– und rentner, Einkommen und Vermögen nach Stufen des Reineinkommens, 2011"/>
    <hyperlink ref="E33:K33" location="'T 10'!A1" display="Zusammensetzung des Reineinkommens und des Reinvermögens nach Verdienerzahl, 2011 in Franken pro Pflichtigen"/>
    <hyperlink ref="E30:K30" location="'T 7'!A1" display="Zusammensetzung des Reineinkommens und des Reinvermögens nach Altersklassen, 2011, in Franken pro Pflichtigen"/>
    <hyperlink ref="E48:K48" location="'T 17'!A1" display="Verteilung der Altersrentnerinnen– und rentner, Einkommen und Vermögen nach Stufen des Reinvermögens, 2011"/>
    <hyperlink ref="E49:K49" location="'T 18'!A1" display="Zusammensetzung des Reineinkommens und des Reinvermögens der Altersrentnerinnen– und rentner nach Zivilstand und Altersklasse, 2011"/>
    <hyperlink ref="B71:K71" location="Erläuterungen!A1" display="Erläuterungen: Begriffe und Definitionen"/>
    <hyperlink ref="B71" location="Erläuterungen!A1" display="Erläuterungen und Hinweise"/>
    <hyperlink ref="E68:J68" location="Gemeindekarte!A1" display="Einfache Kantonssteuer der Kapitalgesellschaften und Genossenschaften nach Gemeinden, 2011, in Franken pro Einwohner"/>
    <hyperlink ref="E65:K65" location="'T 27'!A1" display="Einkommen und Vermögen der Pflichtigen mit Wohnsitz im Kanton Aargau nach Gemeinden, 2011"/>
    <hyperlink ref="E35" location="'T 7a'!Druckbereich" display="Verteilung der Pflichtigen und des Reineinkommens nach Zivilstand und Stufen des Reineinkommens, 2011"/>
    <hyperlink ref="E36:K36" location="'T 11b'!A1" display="Verteilung der Pflichtigen und des Reinvermögens nach Zivilstand und Stufen des Reinvermögens, 2011"/>
    <hyperlink ref="E37:K37" location="'T 12a'!A1" display="Verteilung der Pflichtigen und des Reineinkommens nach Altersklassen und Stufen des Reineinkommens, 2011"/>
    <hyperlink ref="E38:K38" location="'T 12b'!A1" display="Verteilung der Pflichtigen und des Reinvermögens nach Altersklassen und Stufen des Reinvermögens, 2011"/>
    <hyperlink ref="E39:K39" location="'T 13a'!A1" display="Verteilung der Pflichtigen und des Reineinkommens nach Erwerbsart und Stufen des Reineinkommens, 2011"/>
    <hyperlink ref="E40:K40" location="'T 13b'!A1" display="Verteilung der Pflichtigen und des Reinvermögens nach Erwerbsart und Stufen des Reinvermögens, 2011"/>
    <hyperlink ref="E50" location="'T 12a'!A1" display="Verteilung der Altersrentnerinnen– und rentner, Steuerfaktoren und Steuern nach Stufen des steuerbaren Einkommens, 2011"/>
    <hyperlink ref="E51" location="'T 12b'!A1" display="Verteilung der Altersrentnerinnen– und rentner, Steuerfaktoren und Steuern nach Stufen des steuerbaren Vermögens, 2011"/>
    <hyperlink ref="E60" location="'T 18'!A1" display="Verteilung der Pflichtigen, des steuerbaren Einkommens und der Einkommenssteuer nach Stufen des steuerbaren Einkommens und Tarifart, 2011"/>
    <hyperlink ref="E54" location="'T 13a'!A1" display="Verteilung der Pflichtigen, Steuerfaktoren und Steuern nach Stufen des steuerbaren Einkommens, 2011"/>
    <hyperlink ref="E56:K56" location="'T 22a'!A1" display="Verteilung der Pflichtigen, Steuerfaktoren und Steuern nach Stufen des steuerbaren Vermögens, 2011"/>
    <hyperlink ref="E58:K58" location="'T 23'!A1" display="Verteilung der Pflichtigen nach Einkommens– und Vermögenssteuerstufen, 2011"/>
    <hyperlink ref="E59:K59" location="'T 24'!A1" display="Verteilung der Pflichtigen, Einkommen, Vermögen und Steuern nach verschiedenen Merkmalen, 2011"/>
    <hyperlink ref="E60:K60" location="'T 25'!A1" display="Verteilung der Pflichtigen, des steuerbaren Einkommens und der Einkommenssteuer nach Stufen des steuerbaren Einkommens und Tarifart, 2011"/>
    <hyperlink ref="E35:K35" location="'T 11a'!A1" display="Verteilung der Pflichtigen und des Reineinkommens nach Zivilstand und Stufen des Reineinkommens, 2011"/>
    <hyperlink ref="E50:K50" location="'T 19'!A1" display="Verteilung der Altersrentnerinnen– und rentner, Steuerfaktoren und Steuern nach Stufen des steuerbaren Einkommens, 2011"/>
    <hyperlink ref="E51:K51" location="'T 20'!A1" display="Verteilung der Altersrentnerinnen– und rentner, Steuerfaktoren und Steuern nach Stufen des steuerbaren Vermögens, 2011"/>
    <hyperlink ref="E54:K54" location="'T 21a'!A1" display="Verteilung der Pflichtigen, Steuerfaktoren und Steuern nach Stufen des steuerbaren Einkommens, 2011"/>
    <hyperlink ref="E61" location="'T 18'!A1" display="Verteilung der Pflichtigen, des steuerbaren Einkommens und der Einkommenssteuer nach Stufen des steuerbaren Einkommens und Tarifart, 2011"/>
    <hyperlink ref="E61:K61" location="'T 26a'!A1" display="Entwicklung der Vermögens- und Einkommenssteuer von Pflichtigen mit Wohnsitz im Kanton Aargau, 2001 - 2011, in Millionen Franken"/>
    <hyperlink ref="E55" location="'T 13a'!A1" display="Verteilung der Pflichtigen, Steuerfaktoren und Steuern nach Stufen des steuerbaren Einkommens, 2011"/>
    <hyperlink ref="E55:K55" location="'T 21b'!A1" display="Verteilung der Pflichtigen und Einkommenssteuer nach Stufen des steuerbaren Einkommens, 2011"/>
    <hyperlink ref="E57:K57" location="'T 22b'!A1" display="Verteilung der Pflichtigen und Vermögenssteuer nach Stufen des steuerbaren Vermögens, 2011"/>
    <hyperlink ref="E62" location="'T 18'!A1" display="Verteilung der Pflichtigen, des steuerbaren Einkommens und der Einkommenssteuer nach Stufen des steuerbaren Einkommens und Tarifart, 2011"/>
    <hyperlink ref="E62:K62" location="'T 26b'!Druckbereich" display="Entwicklung der Pflichtigen, des Reineinkommens und Reinvermögens sowie der einfachen Kantonssteuer, 2001 - 2011 (indexiert)"/>
    <hyperlink ref="E66:K66" location="'T 28'!A1" display="Steuerpflichtige mit Wohnsitz im Kanton Aargau nach Einkommens- und Vermögensstufen und Gemeinden, in Prozent, 2011"/>
    <hyperlink ref="E41" location="'T 14a'!A1" display="Verteilung der Pflichtigen und des Reinvermögens nach Familientyp und Stufen des Reineinkommens, 2011"/>
    <hyperlink ref="E42" location="'T 14b'!A1" display="Verteilung der Pflichtigen und des Reinvermögens nach Familientyp und Stufen des Reinvermögens 2011"/>
    <hyperlink ref="E43" location="'T 15a'!A1" display="Verteilung der Pflichtigen (unter 65 Jahren) und des Reineinkommens nach Verdienerzahl und Stufen des Reineinkommens, 2011"/>
    <hyperlink ref="E44" location="'T 15b'!A1" display="Verteilung der Pflichtigen (unter 65 Jahren) und des Reineinkommens nach Verdienerzahl und Stufen des Reinvermögens, 2011"/>
    <hyperlink ref="E41:K41" location="'T 14a'!A1" display="Verteilung der Pflichtigen und des Reinvermögens nach Familientyp und Stufen des Reineinkommens, 2011"/>
    <hyperlink ref="E42:K42" location="'T 14b'!A1" display="Verteilung der Pflichtigen und des Reinvermögens nach Familientyp und Stufen des Reinvermögens 2011"/>
  </hyperlinks>
  <pageMargins left="0.7" right="0.7" top="0.75" bottom="0.75" header="0.3" footer="0.3"/>
  <pageSetup paperSize="9" scale="64" orientation="portrait" r:id="rId2"/>
  <headerFooter alignWithMargins="0">
    <oddHeader>&amp;L&amp;G</oddHeader>
    <oddFooter>&amp;L&amp;"Arial,Fett"&amp;8DEPARTEMENT FINANZEN UND RESSOURCEN &amp;"Arial,Standard"Statistik Aargau
Bleichemattstrasse 4, 5000 Aarau&amp;R&amp;8Steuerstatistik 2013 – Natürliche Personen</oddFooter>
  </headerFooter>
  <drawing r:id="rId3"/>
  <legacyDrawingHF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F6E51"/>
    <pageSetUpPr fitToPage="1"/>
  </sheetPr>
  <dimension ref="B1:Z39"/>
  <sheetViews>
    <sheetView view="pageBreakPreview" zoomScaleNormal="100" zoomScaleSheetLayoutView="100" workbookViewId="0"/>
  </sheetViews>
  <sheetFormatPr baseColWidth="10" defaultRowHeight="12.75" x14ac:dyDescent="0.2"/>
  <cols>
    <col min="1" max="1" width="2" style="81" customWidth="1"/>
    <col min="2" max="2" width="41.28515625" style="81" customWidth="1"/>
    <col min="3" max="4" width="13.7109375" style="81" customWidth="1"/>
    <col min="5" max="8" width="12.7109375" style="81" customWidth="1"/>
    <col min="9" max="9" width="19.140625" style="81" customWidth="1"/>
    <col min="10" max="16384" width="11.42578125" style="81"/>
  </cols>
  <sheetData>
    <row r="1" spans="2:26" s="11" customFormat="1" ht="15.75" x14ac:dyDescent="0.2">
      <c r="B1" s="213" t="str">
        <f>Inhaltsverzeichnis!B32&amp;" "&amp;Inhaltsverzeichnis!C32&amp;" "&amp;Inhaltsverzeichnis!E32</f>
        <v>Tabelle 9: Zusammensetzung des Reineinkommens und des Reinvermögens nach Familientyp, 2013, in Franken pro Pflichtigen</v>
      </c>
      <c r="C1" s="214"/>
      <c r="D1" s="214"/>
      <c r="E1" s="214"/>
      <c r="F1" s="214"/>
      <c r="G1" s="214"/>
      <c r="H1" s="214"/>
      <c r="I1" s="214"/>
      <c r="J1" s="214"/>
      <c r="K1" s="214"/>
      <c r="L1" s="214"/>
      <c r="M1" s="214"/>
      <c r="N1" s="214"/>
      <c r="O1" s="214"/>
      <c r="P1" s="214"/>
      <c r="Q1" s="214"/>
      <c r="R1" s="78"/>
      <c r="S1" s="78"/>
      <c r="T1" s="78"/>
      <c r="U1" s="78"/>
      <c r="V1" s="78"/>
      <c r="W1" s="78"/>
      <c r="X1" s="78"/>
      <c r="Y1" s="78"/>
      <c r="Z1" s="78"/>
    </row>
    <row r="3" spans="2:26" ht="27.75" customHeight="1" x14ac:dyDescent="0.2">
      <c r="B3" s="252" t="s">
        <v>608</v>
      </c>
      <c r="C3" s="275" t="s">
        <v>610</v>
      </c>
      <c r="D3" s="276"/>
      <c r="E3" s="275" t="s">
        <v>68</v>
      </c>
      <c r="F3" s="277"/>
      <c r="G3" s="244" t="s">
        <v>13</v>
      </c>
      <c r="H3" s="278"/>
    </row>
    <row r="4" spans="2:26" s="45" customFormat="1" x14ac:dyDescent="0.2">
      <c r="B4" s="269"/>
      <c r="C4" s="113" t="s">
        <v>102</v>
      </c>
      <c r="D4" s="82" t="s">
        <v>103</v>
      </c>
      <c r="E4" s="82" t="s">
        <v>102</v>
      </c>
      <c r="F4" s="82" t="s">
        <v>103</v>
      </c>
      <c r="G4" s="82" t="s">
        <v>102</v>
      </c>
      <c r="H4" s="82" t="s">
        <v>103</v>
      </c>
    </row>
    <row r="5" spans="2:26" s="45" customFormat="1" ht="14.25" x14ac:dyDescent="0.2">
      <c r="B5" s="84" t="s">
        <v>442</v>
      </c>
      <c r="C5" s="110">
        <v>204470.78172276198</v>
      </c>
      <c r="D5" s="110">
        <v>17212.433716552772</v>
      </c>
      <c r="E5" s="110">
        <v>75823.30344873904</v>
      </c>
      <c r="F5" s="110">
        <v>61086.558849658555</v>
      </c>
      <c r="G5" s="110">
        <v>280294.08517163619</v>
      </c>
      <c r="H5" s="110">
        <v>78298.992566200133</v>
      </c>
    </row>
    <row r="6" spans="2:26" x14ac:dyDescent="0.2">
      <c r="B6" s="262" t="s">
        <v>606</v>
      </c>
      <c r="C6" s="263"/>
      <c r="D6" s="263"/>
      <c r="E6" s="263"/>
      <c r="F6" s="263"/>
      <c r="G6" s="263"/>
      <c r="H6" s="264"/>
      <c r="I6" s="106"/>
      <c r="J6" s="106"/>
      <c r="K6" s="106"/>
      <c r="L6" s="106"/>
    </row>
    <row r="7" spans="2:26" x14ac:dyDescent="0.2">
      <c r="B7" s="108" t="s">
        <v>70</v>
      </c>
      <c r="C7" s="33">
        <v>38323.692546417362</v>
      </c>
      <c r="D7" s="33">
        <v>57070.038494782915</v>
      </c>
      <c r="E7" s="33">
        <v>42232.401024210172</v>
      </c>
      <c r="F7" s="33">
        <v>93477.992350471963</v>
      </c>
      <c r="G7" s="33">
        <v>39381.050531060508</v>
      </c>
      <c r="H7" s="33">
        <v>85474.447579873857</v>
      </c>
    </row>
    <row r="8" spans="2:26" x14ac:dyDescent="0.2">
      <c r="B8" s="108" t="s">
        <v>71</v>
      </c>
      <c r="C8" s="33">
        <v>0</v>
      </c>
      <c r="D8" s="33">
        <v>0</v>
      </c>
      <c r="E8" s="33">
        <v>19524.771596179395</v>
      </c>
      <c r="F8" s="33">
        <v>25824.82931435683</v>
      </c>
      <c r="G8" s="33">
        <v>5281.7121724077388</v>
      </c>
      <c r="H8" s="33">
        <v>20147.768240566213</v>
      </c>
    </row>
    <row r="9" spans="2:26" x14ac:dyDescent="0.2">
      <c r="B9" s="108" t="s">
        <v>72</v>
      </c>
      <c r="C9" s="33">
        <v>1945.7066341057694</v>
      </c>
      <c r="D9" s="33">
        <v>4717.6694873831511</v>
      </c>
      <c r="E9" s="33">
        <v>4828.7363346557613</v>
      </c>
      <c r="F9" s="33">
        <v>7033.8420445224865</v>
      </c>
      <c r="G9" s="33">
        <v>2725.6047746702543</v>
      </c>
      <c r="H9" s="33">
        <v>6524.6788316990041</v>
      </c>
    </row>
    <row r="10" spans="2:26" x14ac:dyDescent="0.2">
      <c r="B10" s="108" t="s">
        <v>73</v>
      </c>
      <c r="C10" s="33">
        <v>0</v>
      </c>
      <c r="D10" s="33">
        <v>0</v>
      </c>
      <c r="E10" s="33">
        <v>1101.1139360958125</v>
      </c>
      <c r="F10" s="33">
        <v>1325.9144043314193</v>
      </c>
      <c r="G10" s="33">
        <v>297.86606469819338</v>
      </c>
      <c r="H10" s="33">
        <v>1034.4392135225539</v>
      </c>
    </row>
    <row r="11" spans="2:26" x14ac:dyDescent="0.2">
      <c r="B11" s="109" t="s">
        <v>94</v>
      </c>
      <c r="C11" s="33">
        <v>10050.37502249619</v>
      </c>
      <c r="D11" s="33">
        <v>5531.3592291166442</v>
      </c>
      <c r="E11" s="33">
        <v>23349.947646585395</v>
      </c>
      <c r="F11" s="33">
        <v>3320.5662046842372</v>
      </c>
      <c r="G11" s="33">
        <v>13648.087511496342</v>
      </c>
      <c r="H11" s="33">
        <v>3806.563880348956</v>
      </c>
    </row>
    <row r="12" spans="2:26" x14ac:dyDescent="0.2">
      <c r="B12" s="109" t="s">
        <v>440</v>
      </c>
      <c r="C12" s="33">
        <v>0</v>
      </c>
      <c r="D12" s="33">
        <v>0</v>
      </c>
      <c r="E12" s="33">
        <v>10069.80876036478</v>
      </c>
      <c r="F12" s="33">
        <v>1199.5454156466099</v>
      </c>
      <c r="G12" s="33">
        <v>2724.0181141911135</v>
      </c>
      <c r="H12" s="33">
        <v>935.84986503847961</v>
      </c>
    </row>
    <row r="13" spans="2:26" x14ac:dyDescent="0.2">
      <c r="B13" s="109" t="s">
        <v>75</v>
      </c>
      <c r="C13" s="33">
        <v>1666.137824059467</v>
      </c>
      <c r="D13" s="33">
        <v>1845.0771536997042</v>
      </c>
      <c r="E13" s="33">
        <v>7130.8765276507856</v>
      </c>
      <c r="F13" s="33">
        <v>6412.2296388009499</v>
      </c>
      <c r="G13" s="33">
        <v>3144.4228215354856</v>
      </c>
      <c r="H13" s="33">
        <v>5408.2344806678302</v>
      </c>
    </row>
    <row r="14" spans="2:26" x14ac:dyDescent="0.2">
      <c r="B14" s="109" t="s">
        <v>76</v>
      </c>
      <c r="C14" s="33">
        <v>2633.887941024399</v>
      </c>
      <c r="D14" s="33">
        <v>4108.6177265890346</v>
      </c>
      <c r="E14" s="33">
        <v>9936.3666039105392</v>
      </c>
      <c r="F14" s="33">
        <v>7311.0715090515841</v>
      </c>
      <c r="G14" s="33">
        <v>4609.306206611318</v>
      </c>
      <c r="H14" s="33">
        <v>6607.0774772719369</v>
      </c>
    </row>
    <row r="15" spans="2:26" x14ac:dyDescent="0.2">
      <c r="B15" s="109" t="s">
        <v>77</v>
      </c>
      <c r="C15" s="33">
        <v>466.024368226533</v>
      </c>
      <c r="D15" s="33">
        <v>10327.686092733051</v>
      </c>
      <c r="E15" s="33">
        <v>189.03972706343899</v>
      </c>
      <c r="F15" s="33">
        <v>435.23832608437499</v>
      </c>
      <c r="G15" s="33">
        <v>391.09631369871659</v>
      </c>
      <c r="H15" s="33">
        <v>2609.8908458330325</v>
      </c>
    </row>
    <row r="16" spans="2:26" ht="14.25" x14ac:dyDescent="0.2">
      <c r="B16" s="10" t="s">
        <v>446</v>
      </c>
      <c r="C16" s="31">
        <v>55146.60992762095</v>
      </c>
      <c r="D16" s="31">
        <v>83650.043889455686</v>
      </c>
      <c r="E16" s="31">
        <v>118478.91660775254</v>
      </c>
      <c r="F16" s="31">
        <v>146479.47270797528</v>
      </c>
      <c r="G16" s="31">
        <v>72278.846965649413</v>
      </c>
      <c r="H16" s="31">
        <v>132667.70650838941</v>
      </c>
    </row>
    <row r="17" spans="2:23" x14ac:dyDescent="0.2">
      <c r="B17" s="256" t="s">
        <v>79</v>
      </c>
      <c r="C17" s="257"/>
      <c r="D17" s="257"/>
      <c r="E17" s="257"/>
      <c r="F17" s="257"/>
      <c r="G17" s="257"/>
      <c r="H17" s="257"/>
    </row>
    <row r="18" spans="2:23" x14ac:dyDescent="0.2">
      <c r="B18" s="109" t="s">
        <v>80</v>
      </c>
      <c r="C18" s="33">
        <v>4863.4449992611871</v>
      </c>
      <c r="D18" s="33">
        <v>6000.9644408216827</v>
      </c>
      <c r="E18" s="33">
        <v>6086.7401405979062</v>
      </c>
      <c r="F18" s="33">
        <v>11248.97192254722</v>
      </c>
      <c r="G18" s="33">
        <v>5194.3627161023142</v>
      </c>
      <c r="H18" s="33">
        <v>10095.304704584254</v>
      </c>
    </row>
    <row r="19" spans="2:23" x14ac:dyDescent="0.2">
      <c r="B19" s="109" t="s">
        <v>81</v>
      </c>
      <c r="C19" s="33">
        <v>1697.6957430471805</v>
      </c>
      <c r="D19" s="33">
        <v>3976.6698729511722</v>
      </c>
      <c r="E19" s="33">
        <v>6467.7682642633126</v>
      </c>
      <c r="F19" s="33">
        <v>8377.3622208187335</v>
      </c>
      <c r="G19" s="33">
        <v>2988.0642359366243</v>
      </c>
      <c r="H19" s="33">
        <v>7409.9599227551198</v>
      </c>
    </row>
    <row r="20" spans="2:23" x14ac:dyDescent="0.2">
      <c r="B20" s="109" t="s">
        <v>82</v>
      </c>
      <c r="C20" s="33">
        <v>1789.4070151371873</v>
      </c>
      <c r="D20" s="33">
        <v>3135.9537275443877</v>
      </c>
      <c r="E20" s="33">
        <v>4897.4522112688583</v>
      </c>
      <c r="F20" s="33">
        <v>7540.1331903199889</v>
      </c>
      <c r="G20" s="33">
        <v>2630.1748604324948</v>
      </c>
      <c r="H20" s="33">
        <v>6571.964321292412</v>
      </c>
    </row>
    <row r="21" spans="2:23" x14ac:dyDescent="0.2">
      <c r="B21" s="109" t="s">
        <v>83</v>
      </c>
      <c r="C21" s="33">
        <v>2003.3874861559561</v>
      </c>
      <c r="D21" s="33">
        <v>2027.669346854206</v>
      </c>
      <c r="E21" s="33">
        <v>3990.2559078428103</v>
      </c>
      <c r="F21" s="33">
        <v>3997.3037117459753</v>
      </c>
      <c r="G21" s="33">
        <v>2540.8620003187689</v>
      </c>
      <c r="H21" s="33">
        <v>3564.3198400457777</v>
      </c>
    </row>
    <row r="22" spans="2:23" x14ac:dyDescent="0.2">
      <c r="B22" s="109" t="s">
        <v>84</v>
      </c>
      <c r="C22" s="33">
        <v>2164.7100467372934</v>
      </c>
      <c r="D22" s="33">
        <v>2889.6612304104792</v>
      </c>
      <c r="E22" s="33">
        <v>2479.1323750320066</v>
      </c>
      <c r="F22" s="33">
        <v>1542.6714938697519</v>
      </c>
      <c r="G22" s="33">
        <v>2249.7654969609689</v>
      </c>
      <c r="H22" s="33">
        <v>1838.7796658552625</v>
      </c>
    </row>
    <row r="23" spans="2:23" x14ac:dyDescent="0.2">
      <c r="B23" s="10" t="s">
        <v>91</v>
      </c>
      <c r="C23" s="31">
        <v>12518.64529033904</v>
      </c>
      <c r="D23" s="31">
        <v>18030.918618581902</v>
      </c>
      <c r="E23" s="31">
        <v>23921.348899005243</v>
      </c>
      <c r="F23" s="31">
        <v>32706.442539301563</v>
      </c>
      <c r="G23" s="31">
        <v>15603.229309750954</v>
      </c>
      <c r="H23" s="31">
        <v>29480.328454533003</v>
      </c>
    </row>
    <row r="24" spans="2:23" x14ac:dyDescent="0.2">
      <c r="B24" s="256" t="s">
        <v>30</v>
      </c>
      <c r="C24" s="257"/>
      <c r="D24" s="257"/>
      <c r="E24" s="257"/>
      <c r="F24" s="257"/>
      <c r="G24" s="257"/>
      <c r="H24" s="257"/>
    </row>
    <row r="25" spans="2:23" ht="14.25" x14ac:dyDescent="0.2">
      <c r="B25" s="10" t="s">
        <v>445</v>
      </c>
      <c r="C25" s="31">
        <v>42961.061696115001</v>
      </c>
      <c r="D25" s="31">
        <v>65694.921047990007</v>
      </c>
      <c r="E25" s="31">
        <v>94697.416771027303</v>
      </c>
      <c r="F25" s="31">
        <v>113880.620468899</v>
      </c>
      <c r="G25" s="31">
        <v>56956.438543885299</v>
      </c>
      <c r="H25" s="31">
        <v>103287.9789778</v>
      </c>
    </row>
    <row r="26" spans="2:23" x14ac:dyDescent="0.2">
      <c r="B26" s="256" t="s">
        <v>607</v>
      </c>
      <c r="C26" s="257"/>
      <c r="D26" s="257"/>
      <c r="E26" s="257"/>
      <c r="F26" s="257"/>
      <c r="G26" s="257"/>
      <c r="H26" s="257"/>
    </row>
    <row r="27" spans="2:23" x14ac:dyDescent="0.2">
      <c r="B27" s="109" t="s">
        <v>85</v>
      </c>
      <c r="C27" s="33">
        <v>140837.39831241357</v>
      </c>
      <c r="D27" s="33">
        <v>105306.62211666418</v>
      </c>
      <c r="E27" s="33">
        <v>398405.56067986833</v>
      </c>
      <c r="F27" s="33">
        <v>217364.94684228732</v>
      </c>
      <c r="G27" s="33">
        <v>210513.03532045538</v>
      </c>
      <c r="H27" s="33">
        <v>192731.21371862967</v>
      </c>
    </row>
    <row r="28" spans="2:23" x14ac:dyDescent="0.2">
      <c r="B28" s="109" t="s">
        <v>86</v>
      </c>
      <c r="C28" s="33">
        <v>4467.1217838786724</v>
      </c>
      <c r="D28" s="33">
        <v>5185.2229334014219</v>
      </c>
      <c r="E28" s="33">
        <v>18857.191388702679</v>
      </c>
      <c r="F28" s="33">
        <v>10105.348602337801</v>
      </c>
      <c r="G28" s="33">
        <v>8359.8283089810921</v>
      </c>
      <c r="H28" s="33">
        <v>9023.7595016600171</v>
      </c>
    </row>
    <row r="29" spans="2:23" x14ac:dyDescent="0.2">
      <c r="B29" s="109" t="s">
        <v>87</v>
      </c>
      <c r="C29" s="33">
        <v>110161.40446806006</v>
      </c>
      <c r="D29" s="33">
        <v>177688.76027256626</v>
      </c>
      <c r="E29" s="33">
        <v>444783.56450513215</v>
      </c>
      <c r="F29" s="33">
        <v>386073.17641562549</v>
      </c>
      <c r="G29" s="33">
        <v>200681.17967356212</v>
      </c>
      <c r="H29" s="33">
        <v>340264.12022129277</v>
      </c>
    </row>
    <row r="30" spans="2:23" x14ac:dyDescent="0.2">
      <c r="B30" s="109" t="s">
        <v>88</v>
      </c>
      <c r="C30" s="33">
        <v>6752.3086071174203</v>
      </c>
      <c r="D30" s="33">
        <v>11688.696046998237</v>
      </c>
      <c r="E30" s="33">
        <v>28738.871008807597</v>
      </c>
      <c r="F30" s="33">
        <v>31777.930179258012</v>
      </c>
      <c r="G30" s="33">
        <v>12699.968158183001</v>
      </c>
      <c r="H30" s="33">
        <v>27361.722517002079</v>
      </c>
      <c r="M30" s="260"/>
      <c r="N30" s="260"/>
      <c r="O30" s="260"/>
      <c r="P30" s="260"/>
      <c r="Q30" s="260"/>
      <c r="R30" s="260"/>
      <c r="S30" s="260"/>
      <c r="T30" s="260"/>
      <c r="U30" s="260"/>
      <c r="V30" s="260"/>
      <c r="W30" s="260"/>
    </row>
    <row r="31" spans="2:23" x14ac:dyDescent="0.2">
      <c r="B31" s="109" t="s">
        <v>89</v>
      </c>
      <c r="C31" s="33">
        <v>5001.6918745331996</v>
      </c>
      <c r="D31" s="33">
        <v>7393.6076120632679</v>
      </c>
      <c r="E31" s="33">
        <v>15045.117721734754</v>
      </c>
      <c r="F31" s="33">
        <v>11827.191055425541</v>
      </c>
      <c r="G31" s="33">
        <v>7718.5730574203635</v>
      </c>
      <c r="H31" s="33">
        <v>10852.558322046085</v>
      </c>
    </row>
    <row r="32" spans="2:23" ht="14.25" x14ac:dyDescent="0.2">
      <c r="B32" s="10" t="s">
        <v>444</v>
      </c>
      <c r="C32" s="31">
        <v>267246.15515913029</v>
      </c>
      <c r="D32" s="31">
        <v>307273.98688033299</v>
      </c>
      <c r="E32" s="31">
        <v>905837.14885931741</v>
      </c>
      <c r="F32" s="31">
        <v>657166.26683942578</v>
      </c>
      <c r="G32" s="31">
        <v>439993.57030816918</v>
      </c>
      <c r="H32" s="31">
        <v>580249.5980631829</v>
      </c>
      <c r="L32" s="48"/>
      <c r="M32" s="48"/>
      <c r="N32" s="48"/>
      <c r="O32" s="48"/>
      <c r="P32" s="48"/>
      <c r="Q32" s="48"/>
      <c r="R32" s="48"/>
      <c r="S32" s="48"/>
      <c r="T32" s="48"/>
      <c r="U32" s="48"/>
      <c r="V32" s="48"/>
      <c r="W32" s="48"/>
    </row>
    <row r="33" spans="2:23" x14ac:dyDescent="0.2">
      <c r="B33" s="256" t="s">
        <v>90</v>
      </c>
      <c r="C33" s="257"/>
      <c r="D33" s="257"/>
      <c r="E33" s="257"/>
      <c r="F33" s="257"/>
      <c r="G33" s="257"/>
      <c r="H33" s="257"/>
      <c r="L33" s="48"/>
      <c r="M33" s="48"/>
      <c r="N33" s="48"/>
      <c r="O33" s="48"/>
      <c r="P33" s="48"/>
      <c r="Q33" s="48"/>
      <c r="R33" s="48"/>
      <c r="S33" s="48"/>
      <c r="T33" s="48"/>
      <c r="U33" s="48"/>
      <c r="V33" s="48"/>
      <c r="W33" s="48"/>
    </row>
    <row r="34" spans="2:23" x14ac:dyDescent="0.2">
      <c r="B34" s="10" t="s">
        <v>90</v>
      </c>
      <c r="C34" s="31">
        <v>84149.892273122707</v>
      </c>
      <c r="D34" s="31">
        <v>189060.73608146599</v>
      </c>
      <c r="E34" s="31">
        <v>321961.17881488701</v>
      </c>
      <c r="F34" s="31">
        <v>415257.84010501998</v>
      </c>
      <c r="G34" s="31">
        <v>148481.029806598</v>
      </c>
      <c r="H34" s="31">
        <v>365533.02842766099</v>
      </c>
      <c r="L34" s="48"/>
      <c r="M34" s="48"/>
      <c r="N34" s="48"/>
      <c r="O34" s="48"/>
      <c r="P34" s="48"/>
      <c r="Q34" s="48"/>
      <c r="R34" s="48"/>
      <c r="S34" s="48"/>
      <c r="T34" s="48"/>
      <c r="U34" s="48"/>
      <c r="V34" s="48"/>
      <c r="W34" s="48"/>
    </row>
    <row r="35" spans="2:23" x14ac:dyDescent="0.2">
      <c r="B35" s="256" t="s">
        <v>32</v>
      </c>
      <c r="C35" s="257"/>
      <c r="D35" s="257"/>
      <c r="E35" s="257"/>
      <c r="F35" s="257"/>
      <c r="G35" s="257"/>
      <c r="H35" s="257"/>
      <c r="L35" s="48"/>
      <c r="M35" s="48"/>
      <c r="N35" s="48"/>
      <c r="O35" s="48"/>
      <c r="P35" s="48"/>
      <c r="Q35" s="48"/>
      <c r="R35" s="48"/>
      <c r="S35" s="48"/>
      <c r="T35" s="48"/>
      <c r="U35" s="48"/>
      <c r="V35" s="48"/>
      <c r="W35" s="48"/>
    </row>
    <row r="36" spans="2:23" ht="14.25" x14ac:dyDescent="0.2">
      <c r="B36" s="10" t="s">
        <v>448</v>
      </c>
      <c r="C36" s="31">
        <v>188719.73305580701</v>
      </c>
      <c r="D36" s="31">
        <v>133859.14642023001</v>
      </c>
      <c r="E36" s="31">
        <v>594433.438168069</v>
      </c>
      <c r="F36" s="31">
        <v>271196.82838486298</v>
      </c>
      <c r="G36" s="31">
        <v>298470.72318890702</v>
      </c>
      <c r="H36" s="31">
        <v>241005.94507813599</v>
      </c>
      <c r="L36" s="48"/>
      <c r="M36" s="48"/>
      <c r="N36" s="48"/>
      <c r="O36" s="48"/>
      <c r="P36" s="48"/>
      <c r="Q36" s="48"/>
      <c r="R36" s="48"/>
      <c r="S36" s="48"/>
      <c r="T36" s="48"/>
      <c r="U36" s="48"/>
      <c r="V36" s="48"/>
      <c r="W36" s="48"/>
    </row>
    <row r="37" spans="2:23" x14ac:dyDescent="0.2">
      <c r="L37" s="48"/>
      <c r="M37" s="48"/>
      <c r="N37" s="48"/>
      <c r="O37" s="48"/>
      <c r="P37" s="48"/>
      <c r="Q37" s="48"/>
      <c r="R37" s="48"/>
      <c r="S37" s="48"/>
      <c r="T37" s="48"/>
      <c r="U37" s="48"/>
      <c r="V37" s="48"/>
      <c r="W37" s="48"/>
    </row>
    <row r="38" spans="2:23" s="130" customFormat="1" x14ac:dyDescent="0.2">
      <c r="B38" s="261" t="s">
        <v>33</v>
      </c>
      <c r="C38" s="260"/>
      <c r="D38" s="260"/>
      <c r="E38" s="260"/>
      <c r="F38" s="260"/>
      <c r="G38" s="260"/>
      <c r="H38" s="260"/>
      <c r="L38" s="48"/>
      <c r="M38" s="48"/>
      <c r="N38" s="48"/>
      <c r="O38" s="48"/>
      <c r="P38" s="48"/>
      <c r="Q38" s="48"/>
      <c r="R38" s="48"/>
      <c r="S38" s="48"/>
      <c r="T38" s="48"/>
      <c r="U38" s="48"/>
      <c r="V38" s="48"/>
      <c r="W38" s="48"/>
    </row>
    <row r="39" spans="2:23" ht="39.75" customHeight="1" x14ac:dyDescent="0.2">
      <c r="B39" s="258" t="s">
        <v>443</v>
      </c>
      <c r="C39" s="259"/>
      <c r="D39" s="259"/>
      <c r="E39" s="259"/>
      <c r="F39" s="259"/>
      <c r="G39" s="259"/>
      <c r="H39" s="259"/>
    </row>
  </sheetData>
  <mergeCells count="14">
    <mergeCell ref="B3:B4"/>
    <mergeCell ref="C3:D3"/>
    <mergeCell ref="E3:F3"/>
    <mergeCell ref="G3:H3"/>
    <mergeCell ref="T30:W30"/>
    <mergeCell ref="M30:S30"/>
    <mergeCell ref="B33:H33"/>
    <mergeCell ref="B35:H35"/>
    <mergeCell ref="B39:H39"/>
    <mergeCell ref="B6:H6"/>
    <mergeCell ref="B17:H17"/>
    <mergeCell ref="B24:H24"/>
    <mergeCell ref="B26:H26"/>
    <mergeCell ref="B38:H38"/>
  </mergeCells>
  <pageMargins left="0.78740157480314965" right="0.78740157480314965" top="0.98425196850393704" bottom="0.98425196850393704" header="0.51181102362204722" footer="0.51181102362204722"/>
  <pageSetup paperSize="9" scale="84" orientation="landscape" r:id="rId1"/>
  <headerFooter alignWithMargins="0"/>
  <rowBreaks count="1" manualBreakCount="1">
    <brk id="49" max="1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F6E51"/>
    <pageSetUpPr fitToPage="1"/>
  </sheetPr>
  <dimension ref="B1:Z40"/>
  <sheetViews>
    <sheetView view="pageBreakPreview" zoomScaleNormal="100" zoomScaleSheetLayoutView="100" workbookViewId="0"/>
  </sheetViews>
  <sheetFormatPr baseColWidth="10" defaultRowHeight="12.75" x14ac:dyDescent="0.2"/>
  <cols>
    <col min="1" max="1" width="2" style="81" customWidth="1"/>
    <col min="2" max="2" width="41.28515625" style="81" customWidth="1"/>
    <col min="3" max="3" width="20.28515625" style="81" customWidth="1"/>
    <col min="4" max="4" width="13.7109375" style="81" customWidth="1"/>
    <col min="5" max="8" width="12.7109375" style="81" customWidth="1"/>
    <col min="9" max="16384" width="11.42578125" style="81"/>
  </cols>
  <sheetData>
    <row r="1" spans="2:26" s="11" customFormat="1" ht="15.75" x14ac:dyDescent="0.2">
      <c r="B1" s="213" t="str">
        <f>Inhaltsverzeichnis!B33&amp;" "&amp;Inhaltsverzeichnis!C33&amp;" "&amp;Inhaltsverzeichnis!E33</f>
        <v>Tabelle 10: Zusammensetzung des Reineinkommens und des Reinvermögens nach Verdienerzahl, 2013, in Franken pro Pflichtigen (unter 65 Jahren)</v>
      </c>
      <c r="C1" s="214"/>
      <c r="D1" s="214"/>
      <c r="E1" s="214"/>
      <c r="F1" s="214"/>
      <c r="G1" s="214"/>
      <c r="H1" s="214"/>
      <c r="I1" s="214"/>
      <c r="J1" s="214"/>
      <c r="K1" s="214"/>
      <c r="L1" s="214"/>
      <c r="M1" s="214"/>
      <c r="N1" s="214"/>
      <c r="O1" s="214"/>
      <c r="P1" s="214"/>
      <c r="Q1" s="214"/>
      <c r="R1" s="78"/>
      <c r="S1" s="78"/>
      <c r="T1" s="78"/>
      <c r="U1" s="78"/>
      <c r="V1" s="78"/>
      <c r="W1" s="78"/>
      <c r="X1" s="78"/>
      <c r="Y1" s="78"/>
      <c r="Z1" s="78"/>
    </row>
    <row r="3" spans="2:26" x14ac:dyDescent="0.2">
      <c r="B3" s="252" t="s">
        <v>608</v>
      </c>
      <c r="C3" s="242" t="s">
        <v>104</v>
      </c>
      <c r="D3" s="275" t="s">
        <v>68</v>
      </c>
      <c r="E3" s="282"/>
      <c r="F3" s="282"/>
      <c r="G3" s="282"/>
      <c r="H3" s="238" t="s">
        <v>0</v>
      </c>
    </row>
    <row r="4" spans="2:26" s="45" customFormat="1" x14ac:dyDescent="0.2">
      <c r="B4" s="279"/>
      <c r="C4" s="280"/>
      <c r="D4" s="275" t="s">
        <v>105</v>
      </c>
      <c r="E4" s="283"/>
      <c r="F4" s="275" t="s">
        <v>106</v>
      </c>
      <c r="G4" s="284"/>
      <c r="H4" s="279"/>
    </row>
    <row r="5" spans="2:26" s="45" customFormat="1" x14ac:dyDescent="0.2">
      <c r="B5" s="269"/>
      <c r="C5" s="281"/>
      <c r="D5" s="207" t="s">
        <v>102</v>
      </c>
      <c r="E5" s="46" t="s">
        <v>103</v>
      </c>
      <c r="F5" s="46" t="s">
        <v>102</v>
      </c>
      <c r="G5" s="208" t="s">
        <v>103</v>
      </c>
      <c r="H5" s="279"/>
    </row>
    <row r="6" spans="2:26" s="45" customFormat="1" ht="14.25" x14ac:dyDescent="0.2">
      <c r="B6" s="84" t="s">
        <v>442</v>
      </c>
      <c r="C6" s="110">
        <v>182415.79974026774</v>
      </c>
      <c r="D6" s="110">
        <v>10045.861912623544</v>
      </c>
      <c r="E6" s="110">
        <v>13620.972477835698</v>
      </c>
      <c r="F6" s="110">
        <v>30568.511569125389</v>
      </c>
      <c r="G6" s="110">
        <v>46753.441198131251</v>
      </c>
      <c r="H6" s="110">
        <v>283404.58689802</v>
      </c>
    </row>
    <row r="7" spans="2:26" x14ac:dyDescent="0.2">
      <c r="B7" s="262" t="s">
        <v>606</v>
      </c>
      <c r="C7" s="263"/>
      <c r="D7" s="263"/>
      <c r="E7" s="263"/>
      <c r="F7" s="263"/>
      <c r="G7" s="263"/>
      <c r="H7" s="264"/>
      <c r="I7" s="106"/>
      <c r="J7" s="106"/>
      <c r="K7" s="106"/>
      <c r="L7" s="106"/>
    </row>
    <row r="8" spans="2:26" x14ac:dyDescent="0.2">
      <c r="B8" s="108" t="s">
        <v>70</v>
      </c>
      <c r="C8" s="33">
        <v>47833.995661777306</v>
      </c>
      <c r="D8" s="33">
        <v>66817.96603338611</v>
      </c>
      <c r="E8" s="33">
        <v>104182.80216655202</v>
      </c>
      <c r="F8" s="33">
        <v>75405.750808776778</v>
      </c>
      <c r="G8" s="33">
        <v>91435.490733313083</v>
      </c>
      <c r="H8" s="33">
        <v>61382.059162314232</v>
      </c>
    </row>
    <row r="9" spans="2:26" x14ac:dyDescent="0.2">
      <c r="B9" s="108" t="s">
        <v>71</v>
      </c>
      <c r="C9" s="33">
        <v>0</v>
      </c>
      <c r="D9" s="33">
        <v>2.7474752009084007</v>
      </c>
      <c r="E9" s="33">
        <v>0</v>
      </c>
      <c r="F9" s="33">
        <v>42086.637487389598</v>
      </c>
      <c r="G9" s="33">
        <v>33304.610708437976</v>
      </c>
      <c r="H9" s="33">
        <v>10033.918840921808</v>
      </c>
    </row>
    <row r="10" spans="2:26" x14ac:dyDescent="0.2">
      <c r="B10" s="108" t="s">
        <v>72</v>
      </c>
      <c r="C10" s="33">
        <v>2438.5965157710571</v>
      </c>
      <c r="D10" s="33">
        <v>6274.8027567520057</v>
      </c>
      <c r="E10" s="33">
        <v>5809.4178762081656</v>
      </c>
      <c r="F10" s="33">
        <v>6859.7140842958161</v>
      </c>
      <c r="G10" s="33">
        <v>7354.448138683093</v>
      </c>
      <c r="H10" s="33">
        <v>4024.4276817203145</v>
      </c>
    </row>
    <row r="11" spans="2:26" x14ac:dyDescent="0.2">
      <c r="B11" s="108" t="s">
        <v>73</v>
      </c>
      <c r="C11" s="33">
        <v>0</v>
      </c>
      <c r="D11" s="33">
        <v>-2.7474752009084007</v>
      </c>
      <c r="E11" s="33">
        <v>0</v>
      </c>
      <c r="F11" s="33">
        <v>2118.028150106597</v>
      </c>
      <c r="G11" s="33">
        <v>1661.4843522848917</v>
      </c>
      <c r="H11" s="33">
        <v>502.45297642699398</v>
      </c>
    </row>
    <row r="12" spans="2:26" x14ac:dyDescent="0.2">
      <c r="B12" s="109" t="s">
        <v>94</v>
      </c>
      <c r="C12" s="33">
        <v>3781.7807923934188</v>
      </c>
      <c r="D12" s="33">
        <v>11678.503524960182</v>
      </c>
      <c r="E12" s="33">
        <v>3512.1438176570114</v>
      </c>
      <c r="F12" s="33">
        <v>5075.2848241545371</v>
      </c>
      <c r="G12" s="33">
        <v>2415.6684705932489</v>
      </c>
      <c r="H12" s="33">
        <v>3962.8883380957745</v>
      </c>
    </row>
    <row r="13" spans="2:26" x14ac:dyDescent="0.2">
      <c r="B13" s="109" t="s">
        <v>440</v>
      </c>
      <c r="C13" s="33">
        <v>0</v>
      </c>
      <c r="D13" s="33">
        <v>7483.6210454175662</v>
      </c>
      <c r="E13" s="33">
        <v>2666.3878239065943</v>
      </c>
      <c r="F13" s="33">
        <v>1321.5901100060275</v>
      </c>
      <c r="G13" s="33">
        <v>725.2711731104132</v>
      </c>
      <c r="H13" s="33">
        <v>655.6216557366796</v>
      </c>
    </row>
    <row r="14" spans="2:26" x14ac:dyDescent="0.2">
      <c r="B14" s="109" t="s">
        <v>75</v>
      </c>
      <c r="C14" s="33">
        <v>1097.7288547288069</v>
      </c>
      <c r="D14" s="33">
        <v>4755.8960626422022</v>
      </c>
      <c r="E14" s="33">
        <v>4494.348588043993</v>
      </c>
      <c r="F14" s="33">
        <v>5125.6431297012632</v>
      </c>
      <c r="G14" s="33">
        <v>4929.5262030527292</v>
      </c>
      <c r="H14" s="33">
        <v>2457.2402404413333</v>
      </c>
    </row>
    <row r="15" spans="2:26" x14ac:dyDescent="0.2">
      <c r="B15" s="109" t="s">
        <v>76</v>
      </c>
      <c r="C15" s="33">
        <v>1908.4137350560395</v>
      </c>
      <c r="D15" s="33">
        <v>8173.9658380499677</v>
      </c>
      <c r="E15" s="33">
        <v>6468.7315007478201</v>
      </c>
      <c r="F15" s="33">
        <v>7637.6244480034538</v>
      </c>
      <c r="G15" s="33">
        <v>7344.4313350991333</v>
      </c>
      <c r="H15" s="33">
        <v>3864.4329133393881</v>
      </c>
    </row>
    <row r="16" spans="2:26" x14ac:dyDescent="0.2">
      <c r="B16" s="109" t="s">
        <v>77</v>
      </c>
      <c r="C16" s="33">
        <v>1400.3371292758093</v>
      </c>
      <c r="D16" s="33">
        <v>359.54583353328923</v>
      </c>
      <c r="E16" s="33">
        <v>416.11289068401368</v>
      </c>
      <c r="F16" s="33">
        <v>140.73428223698815</v>
      </c>
      <c r="G16" s="33">
        <v>437.33645374067828</v>
      </c>
      <c r="H16" s="33">
        <v>1021.4105997591114</v>
      </c>
    </row>
    <row r="17" spans="2:23" ht="14.25" x14ac:dyDescent="0.2">
      <c r="B17" s="10" t="s">
        <v>446</v>
      </c>
      <c r="C17" s="31">
        <v>58519.514896901332</v>
      </c>
      <c r="D17" s="31">
        <v>105615.17594914087</v>
      </c>
      <c r="E17" s="31">
        <v>127667.19554679289</v>
      </c>
      <c r="F17" s="31">
        <v>145903.3456767083</v>
      </c>
      <c r="G17" s="31">
        <v>149739.82095435969</v>
      </c>
      <c r="H17" s="31">
        <v>87986.335146847676</v>
      </c>
    </row>
    <row r="18" spans="2:23" x14ac:dyDescent="0.2">
      <c r="B18" s="256" t="s">
        <v>79</v>
      </c>
      <c r="C18" s="257"/>
      <c r="D18" s="257"/>
      <c r="E18" s="257"/>
      <c r="F18" s="257"/>
      <c r="G18" s="257"/>
      <c r="H18" s="257"/>
    </row>
    <row r="19" spans="2:23" x14ac:dyDescent="0.2">
      <c r="B19" s="109" t="s">
        <v>80</v>
      </c>
      <c r="C19" s="33">
        <v>5961.172959334559</v>
      </c>
      <c r="D19" s="33">
        <v>5319.9798882317964</v>
      </c>
      <c r="E19" s="33">
        <v>7729.7437480915314</v>
      </c>
      <c r="F19" s="33">
        <v>11927.86191892432</v>
      </c>
      <c r="G19" s="33">
        <v>12374.825606338938</v>
      </c>
      <c r="H19" s="33">
        <v>7725.0874211522987</v>
      </c>
    </row>
    <row r="20" spans="2:23" x14ac:dyDescent="0.2">
      <c r="B20" s="109" t="s">
        <v>81</v>
      </c>
      <c r="C20" s="33">
        <v>1814.7239556098298</v>
      </c>
      <c r="D20" s="33">
        <v>6038.415811920996</v>
      </c>
      <c r="E20" s="33">
        <v>7118.1836019577459</v>
      </c>
      <c r="F20" s="33">
        <v>8013.2974604746942</v>
      </c>
      <c r="G20" s="33">
        <v>8702.6592247395583</v>
      </c>
      <c r="H20" s="33">
        <v>4024.2321091703093</v>
      </c>
    </row>
    <row r="21" spans="2:23" x14ac:dyDescent="0.2">
      <c r="B21" s="109" t="s">
        <v>82</v>
      </c>
      <c r="C21" s="33">
        <v>2276.1636506478958</v>
      </c>
      <c r="D21" s="33">
        <v>4417.6166532443003</v>
      </c>
      <c r="E21" s="33">
        <v>4959.366833723564</v>
      </c>
      <c r="F21" s="33">
        <v>9556.4582916509189</v>
      </c>
      <c r="G21" s="33">
        <v>8317.8354150205796</v>
      </c>
      <c r="H21" s="33">
        <v>4262.9956231393999</v>
      </c>
    </row>
    <row r="22" spans="2:23" x14ac:dyDescent="0.2">
      <c r="B22" s="109" t="s">
        <v>83</v>
      </c>
      <c r="C22" s="33">
        <v>2006.1221418987836</v>
      </c>
      <c r="D22" s="33">
        <v>3944.6454080209519</v>
      </c>
      <c r="E22" s="33">
        <v>3991.513609821036</v>
      </c>
      <c r="F22" s="33">
        <v>3995.3494122579514</v>
      </c>
      <c r="G22" s="33">
        <v>3999.0055443007518</v>
      </c>
      <c r="H22" s="33">
        <v>2713.5876617031477</v>
      </c>
    </row>
    <row r="23" spans="2:23" x14ac:dyDescent="0.2">
      <c r="B23" s="109" t="s">
        <v>84</v>
      </c>
      <c r="C23" s="33">
        <v>1694.5915122846275</v>
      </c>
      <c r="D23" s="33">
        <v>1695.6473306778666</v>
      </c>
      <c r="E23" s="33">
        <v>1124.2394647996196</v>
      </c>
      <c r="F23" s="33">
        <v>1867.8962703159591</v>
      </c>
      <c r="G23" s="33">
        <v>1630.8264219623939</v>
      </c>
      <c r="H23" s="33">
        <v>1675.3902992933788</v>
      </c>
    </row>
    <row r="24" spans="2:23" x14ac:dyDescent="0.2">
      <c r="B24" s="10" t="s">
        <v>91</v>
      </c>
      <c r="C24" s="31">
        <v>13752.774219775612</v>
      </c>
      <c r="D24" s="31">
        <v>21416.305092095958</v>
      </c>
      <c r="E24" s="31">
        <v>24923.047258393533</v>
      </c>
      <c r="F24" s="31">
        <v>35360.863353623972</v>
      </c>
      <c r="G24" s="31">
        <v>35025.152212362249</v>
      </c>
      <c r="H24" s="31">
        <v>20401.293114458527</v>
      </c>
    </row>
    <row r="25" spans="2:23" x14ac:dyDescent="0.2">
      <c r="B25" s="256" t="s">
        <v>30</v>
      </c>
      <c r="C25" s="257"/>
      <c r="D25" s="257"/>
      <c r="E25" s="257"/>
      <c r="F25" s="257"/>
      <c r="G25" s="257"/>
      <c r="H25" s="257"/>
    </row>
    <row r="26" spans="2:23" ht="14.25" x14ac:dyDescent="0.2">
      <c r="B26" s="10" t="s">
        <v>445</v>
      </c>
      <c r="C26" s="31">
        <v>44979.019741432297</v>
      </c>
      <c r="D26" s="31">
        <v>84319.550418347004</v>
      </c>
      <c r="E26" s="31">
        <v>102853.43697679001</v>
      </c>
      <c r="F26" s="31">
        <v>110663.50867671899</v>
      </c>
      <c r="G26" s="31">
        <v>114819.37919999599</v>
      </c>
      <c r="H26" s="31">
        <v>67761.5359063535</v>
      </c>
    </row>
    <row r="27" spans="2:23" x14ac:dyDescent="0.2">
      <c r="B27" s="256" t="s">
        <v>607</v>
      </c>
      <c r="C27" s="257"/>
      <c r="D27" s="257"/>
      <c r="E27" s="257"/>
      <c r="F27" s="257"/>
      <c r="G27" s="257"/>
      <c r="H27" s="257"/>
    </row>
    <row r="28" spans="2:23" x14ac:dyDescent="0.2">
      <c r="B28" s="109" t="s">
        <v>85</v>
      </c>
      <c r="C28" s="33">
        <v>82157.894808508048</v>
      </c>
      <c r="D28" s="33">
        <v>273246.15515699767</v>
      </c>
      <c r="E28" s="33">
        <v>197498.86214534883</v>
      </c>
      <c r="F28" s="33">
        <v>241557.27585115988</v>
      </c>
      <c r="G28" s="33">
        <v>205026.2326609437</v>
      </c>
      <c r="H28" s="33">
        <v>131937.68844229871</v>
      </c>
    </row>
    <row r="29" spans="2:23" x14ac:dyDescent="0.2">
      <c r="B29" s="109" t="s">
        <v>86</v>
      </c>
      <c r="C29" s="33">
        <v>3537.6637123557362</v>
      </c>
      <c r="D29" s="33">
        <v>15455.450721743015</v>
      </c>
      <c r="E29" s="33">
        <v>7945.9620159053811</v>
      </c>
      <c r="F29" s="33">
        <v>16402.056585697032</v>
      </c>
      <c r="G29" s="33">
        <v>10346.130394527805</v>
      </c>
      <c r="H29" s="33">
        <v>6682.7586851497817</v>
      </c>
    </row>
    <row r="30" spans="2:23" x14ac:dyDescent="0.2">
      <c r="B30" s="109" t="s">
        <v>87</v>
      </c>
      <c r="C30" s="33">
        <v>87378.511685228237</v>
      </c>
      <c r="D30" s="33">
        <v>362843.90116644755</v>
      </c>
      <c r="E30" s="33">
        <v>334499.48924654454</v>
      </c>
      <c r="F30" s="33">
        <v>403304.71500493836</v>
      </c>
      <c r="G30" s="33">
        <v>395112.70759058133</v>
      </c>
      <c r="H30" s="33">
        <v>193863.52684639356</v>
      </c>
    </row>
    <row r="31" spans="2:23" x14ac:dyDescent="0.2">
      <c r="B31" s="109" t="s">
        <v>88</v>
      </c>
      <c r="C31" s="33">
        <v>6927.5914946896146</v>
      </c>
      <c r="D31" s="33">
        <v>29368.921218982348</v>
      </c>
      <c r="E31" s="33">
        <v>29021.846883197733</v>
      </c>
      <c r="F31" s="33">
        <v>33484.932507544901</v>
      </c>
      <c r="G31" s="33">
        <v>32068.965122877948</v>
      </c>
      <c r="H31" s="33">
        <v>15797.073429284177</v>
      </c>
      <c r="M31" s="260"/>
      <c r="N31" s="260"/>
      <c r="O31" s="260"/>
      <c r="P31" s="260"/>
      <c r="Q31" s="260"/>
      <c r="R31" s="260"/>
      <c r="S31" s="260"/>
      <c r="T31" s="260"/>
      <c r="U31" s="260"/>
      <c r="V31" s="260"/>
      <c r="W31" s="260"/>
    </row>
    <row r="32" spans="2:23" x14ac:dyDescent="0.2">
      <c r="B32" s="109" t="s">
        <v>89</v>
      </c>
      <c r="C32" s="33">
        <v>4828.9037898085462</v>
      </c>
      <c r="D32" s="33">
        <v>15822.108549969615</v>
      </c>
      <c r="E32" s="33">
        <v>10646.171083430099</v>
      </c>
      <c r="F32" s="33">
        <v>14024.522006137979</v>
      </c>
      <c r="G32" s="33">
        <v>11150.186084628505</v>
      </c>
      <c r="H32" s="33">
        <v>7532.8512628775197</v>
      </c>
    </row>
    <row r="33" spans="2:23" ht="14.25" x14ac:dyDescent="0.2">
      <c r="B33" s="10" t="s">
        <v>444</v>
      </c>
      <c r="C33" s="31">
        <v>184841.97711463491</v>
      </c>
      <c r="D33" s="31">
        <v>696738.19790632103</v>
      </c>
      <c r="E33" s="31">
        <v>579621.01202888379</v>
      </c>
      <c r="F33" s="31">
        <v>708784.11451050523</v>
      </c>
      <c r="G33" s="31">
        <v>653724.78481647116</v>
      </c>
      <c r="H33" s="31">
        <v>355826.25692001882</v>
      </c>
      <c r="L33" s="48"/>
      <c r="M33" s="48"/>
      <c r="N33" s="48"/>
      <c r="O33" s="48"/>
      <c r="P33" s="48"/>
      <c r="Q33" s="48"/>
      <c r="R33" s="48"/>
      <c r="S33" s="48"/>
      <c r="T33" s="48"/>
      <c r="U33" s="48"/>
      <c r="V33" s="48"/>
      <c r="W33" s="48"/>
    </row>
    <row r="34" spans="2:23" x14ac:dyDescent="0.2">
      <c r="B34" s="256" t="s">
        <v>90</v>
      </c>
      <c r="C34" s="257"/>
      <c r="D34" s="257"/>
      <c r="E34" s="257"/>
      <c r="F34" s="257"/>
      <c r="G34" s="257"/>
      <c r="H34" s="257"/>
      <c r="L34" s="48"/>
      <c r="M34" s="48"/>
      <c r="N34" s="48"/>
      <c r="O34" s="48"/>
      <c r="P34" s="48"/>
      <c r="Q34" s="48"/>
      <c r="R34" s="48"/>
      <c r="S34" s="48"/>
      <c r="T34" s="48"/>
      <c r="U34" s="48"/>
      <c r="V34" s="48"/>
      <c r="W34" s="48"/>
    </row>
    <row r="35" spans="2:23" x14ac:dyDescent="0.2">
      <c r="B35" s="10" t="s">
        <v>90</v>
      </c>
      <c r="C35" s="31">
        <v>88793.5753200732</v>
      </c>
      <c r="D35" s="31">
        <v>299068.21121438598</v>
      </c>
      <c r="E35" s="31">
        <v>355332.41941959597</v>
      </c>
      <c r="F35" s="31">
        <v>392090.72627565899</v>
      </c>
      <c r="G35" s="31">
        <v>430215.14452042902</v>
      </c>
      <c r="H35" s="31">
        <v>198096.266155057</v>
      </c>
      <c r="L35" s="48"/>
      <c r="M35" s="48"/>
      <c r="N35" s="48"/>
      <c r="O35" s="48"/>
      <c r="P35" s="48"/>
      <c r="Q35" s="48"/>
      <c r="R35" s="48"/>
      <c r="S35" s="48"/>
      <c r="T35" s="48"/>
      <c r="U35" s="48"/>
      <c r="V35" s="48"/>
      <c r="W35" s="48"/>
    </row>
    <row r="36" spans="2:23" x14ac:dyDescent="0.2">
      <c r="B36" s="256" t="s">
        <v>32</v>
      </c>
      <c r="C36" s="257"/>
      <c r="D36" s="257"/>
      <c r="E36" s="257"/>
      <c r="F36" s="257"/>
      <c r="G36" s="257"/>
      <c r="H36" s="257"/>
      <c r="L36" s="48"/>
      <c r="M36" s="48"/>
      <c r="N36" s="48"/>
      <c r="O36" s="48"/>
      <c r="P36" s="48"/>
      <c r="Q36" s="48"/>
      <c r="R36" s="48"/>
      <c r="S36" s="48"/>
      <c r="T36" s="48"/>
      <c r="U36" s="48"/>
      <c r="V36" s="48"/>
      <c r="W36" s="48"/>
    </row>
    <row r="37" spans="2:23" ht="14.25" x14ac:dyDescent="0.2">
      <c r="B37" s="10" t="s">
        <v>448</v>
      </c>
      <c r="C37" s="31">
        <v>103514.492628641</v>
      </c>
      <c r="D37" s="31">
        <v>408917.99248977698</v>
      </c>
      <c r="E37" s="31">
        <v>250342.640670764</v>
      </c>
      <c r="F37" s="31">
        <v>336659.76633585402</v>
      </c>
      <c r="G37" s="31">
        <v>254103.202247359</v>
      </c>
      <c r="H37" s="31">
        <v>171387.169419407</v>
      </c>
      <c r="L37" s="48"/>
      <c r="M37" s="48"/>
      <c r="N37" s="48"/>
      <c r="O37" s="48"/>
      <c r="P37" s="48"/>
      <c r="Q37" s="48"/>
      <c r="R37" s="48"/>
      <c r="S37" s="48"/>
      <c r="T37" s="48"/>
      <c r="U37" s="48"/>
      <c r="V37" s="48"/>
      <c r="W37" s="48"/>
    </row>
    <row r="38" spans="2:23" x14ac:dyDescent="0.2">
      <c r="L38" s="48"/>
      <c r="M38" s="48"/>
      <c r="N38" s="48"/>
      <c r="O38" s="48"/>
      <c r="P38" s="48"/>
      <c r="Q38" s="48"/>
      <c r="R38" s="48"/>
      <c r="S38" s="48"/>
      <c r="T38" s="48"/>
      <c r="U38" s="48"/>
      <c r="V38" s="48"/>
      <c r="W38" s="48"/>
    </row>
    <row r="39" spans="2:23" s="130" customFormat="1" x14ac:dyDescent="0.2">
      <c r="B39" s="261" t="s">
        <v>458</v>
      </c>
      <c r="C39" s="260"/>
      <c r="D39" s="260"/>
      <c r="E39" s="260"/>
      <c r="F39" s="260"/>
      <c r="G39" s="260"/>
      <c r="H39" s="260"/>
      <c r="L39" s="48"/>
      <c r="M39" s="48"/>
      <c r="N39" s="48"/>
      <c r="O39" s="48"/>
      <c r="P39" s="48"/>
      <c r="Q39" s="48"/>
      <c r="R39" s="48"/>
      <c r="S39" s="48"/>
      <c r="T39" s="48"/>
      <c r="U39" s="48"/>
      <c r="V39" s="48"/>
      <c r="W39" s="48"/>
    </row>
    <row r="40" spans="2:23" ht="39.75" customHeight="1" x14ac:dyDescent="0.2">
      <c r="B40" s="258" t="s">
        <v>443</v>
      </c>
      <c r="C40" s="259"/>
      <c r="D40" s="259"/>
      <c r="E40" s="259"/>
      <c r="F40" s="259"/>
      <c r="G40" s="259"/>
      <c r="H40" s="259"/>
    </row>
  </sheetData>
  <mergeCells count="16">
    <mergeCell ref="M31:S31"/>
    <mergeCell ref="T31:W31"/>
    <mergeCell ref="B34:H34"/>
    <mergeCell ref="B36:H36"/>
    <mergeCell ref="B40:H40"/>
    <mergeCell ref="B39:H39"/>
    <mergeCell ref="H3:H5"/>
    <mergeCell ref="B7:H7"/>
    <mergeCell ref="B18:H18"/>
    <mergeCell ref="B25:H25"/>
    <mergeCell ref="B27:H27"/>
    <mergeCell ref="C3:C5"/>
    <mergeCell ref="B3:B5"/>
    <mergeCell ref="D3:G3"/>
    <mergeCell ref="D4:E4"/>
    <mergeCell ref="F4:G4"/>
  </mergeCells>
  <pageMargins left="0.78740157480314965" right="0.78740157480314965" top="0.98425196850393704" bottom="0.98425196850393704" header="0.51181102362204722" footer="0.51181102362204722"/>
  <pageSetup paperSize="9" scale="75" orientation="landscape" r:id="rId1"/>
  <headerFooter alignWithMargins="0"/>
  <rowBreaks count="1" manualBreakCount="1">
    <brk id="50" max="1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97E"/>
    <pageSetUpPr fitToPage="1"/>
  </sheetPr>
  <dimension ref="B1:AF19"/>
  <sheetViews>
    <sheetView view="pageBreakPreview" zoomScaleNormal="100" zoomScaleSheetLayoutView="100" zoomScalePageLayoutView="70" workbookViewId="0"/>
  </sheetViews>
  <sheetFormatPr baseColWidth="10" defaultRowHeight="12.75" x14ac:dyDescent="0.2"/>
  <cols>
    <col min="1" max="1" width="2" style="81" customWidth="1"/>
    <col min="2" max="2" width="16.28515625" style="81" customWidth="1"/>
    <col min="3" max="3" width="12.7109375" style="81" customWidth="1"/>
    <col min="4" max="4" width="14.7109375" style="81" customWidth="1"/>
    <col min="5" max="5" width="12.7109375" style="81" customWidth="1"/>
    <col min="6" max="6" width="14.7109375" style="81" customWidth="1"/>
    <col min="7" max="7" width="12.7109375" style="81" customWidth="1"/>
    <col min="8" max="8" width="14.7109375" style="81" customWidth="1"/>
    <col min="9" max="9" width="12.7109375" style="81" customWidth="1"/>
    <col min="10" max="10" width="14.7109375" style="81" customWidth="1"/>
    <col min="11" max="11" width="12.7109375" style="81" customWidth="1"/>
    <col min="12" max="12" width="14.7109375" style="81" customWidth="1"/>
    <col min="13" max="16384" width="11.42578125" style="81"/>
  </cols>
  <sheetData>
    <row r="1" spans="2:32" s="11" customFormat="1" ht="15.75" x14ac:dyDescent="0.2">
      <c r="B1" s="213" t="str">
        <f>Inhaltsverzeichnis!B35&amp;" "&amp;Inhaltsverzeichnis!C35&amp;" "&amp;Inhaltsverzeichnis!E35</f>
        <v>Tabelle  11a: Verteilung der Pflichtigen und des Reineinkommens nach Zivilstand und Stufen des Reineinkommens, 2013</v>
      </c>
      <c r="C1" s="214"/>
      <c r="D1" s="214"/>
      <c r="E1" s="214"/>
      <c r="F1" s="214"/>
      <c r="G1" s="214"/>
      <c r="H1" s="214"/>
      <c r="I1" s="214"/>
      <c r="J1" s="214"/>
      <c r="K1" s="214"/>
      <c r="L1" s="214"/>
      <c r="M1" s="214"/>
      <c r="N1" s="214"/>
      <c r="O1" s="214"/>
      <c r="P1" s="214"/>
      <c r="Q1" s="214"/>
      <c r="R1" s="214"/>
      <c r="S1" s="214"/>
      <c r="T1" s="78"/>
      <c r="U1" s="78"/>
      <c r="V1" s="78"/>
      <c r="W1" s="78"/>
      <c r="X1" s="78"/>
      <c r="Y1" s="78"/>
      <c r="Z1" s="78"/>
      <c r="AA1" s="78"/>
      <c r="AB1" s="78"/>
      <c r="AC1" s="78"/>
      <c r="AD1" s="78"/>
      <c r="AE1" s="78"/>
      <c r="AF1" s="78"/>
    </row>
    <row r="3" spans="2:32" s="45" customFormat="1" x14ac:dyDescent="0.2">
      <c r="B3" s="248" t="s">
        <v>570</v>
      </c>
      <c r="C3" s="251" t="s">
        <v>64</v>
      </c>
      <c r="D3" s="247"/>
      <c r="E3" s="246" t="s">
        <v>68</v>
      </c>
      <c r="F3" s="250"/>
      <c r="G3" s="246" t="s">
        <v>108</v>
      </c>
      <c r="H3" s="247"/>
      <c r="I3" s="246" t="s">
        <v>67</v>
      </c>
      <c r="J3" s="247"/>
      <c r="K3" s="246" t="s">
        <v>69</v>
      </c>
      <c r="L3" s="247"/>
    </row>
    <row r="4" spans="2:32" ht="25.5" x14ac:dyDescent="0.2">
      <c r="B4" s="249"/>
      <c r="C4" s="47" t="s">
        <v>441</v>
      </c>
      <c r="D4" s="203" t="s">
        <v>567</v>
      </c>
      <c r="E4" s="196" t="s">
        <v>441</v>
      </c>
      <c r="F4" s="203" t="s">
        <v>567</v>
      </c>
      <c r="G4" s="196" t="s">
        <v>441</v>
      </c>
      <c r="H4" s="203" t="s">
        <v>567</v>
      </c>
      <c r="I4" s="196" t="s">
        <v>441</v>
      </c>
      <c r="J4" s="203" t="s">
        <v>567</v>
      </c>
      <c r="K4" s="196" t="s">
        <v>441</v>
      </c>
      <c r="L4" s="203" t="s">
        <v>567</v>
      </c>
    </row>
    <row r="5" spans="2:32" x14ac:dyDescent="0.2">
      <c r="B5" s="25">
        <v>0</v>
      </c>
      <c r="C5" s="27">
        <v>11038.206541147611</v>
      </c>
      <c r="D5" s="33">
        <v>0</v>
      </c>
      <c r="E5" s="27">
        <v>1022.6281901990644</v>
      </c>
      <c r="F5" s="33">
        <v>0</v>
      </c>
      <c r="G5" s="27">
        <v>1421.1852234073851</v>
      </c>
      <c r="H5" s="33">
        <v>0</v>
      </c>
      <c r="I5" s="27">
        <v>1392.3829418435889</v>
      </c>
      <c r="J5" s="33">
        <v>0</v>
      </c>
      <c r="K5" s="27">
        <v>330.81942608265399</v>
      </c>
      <c r="L5" s="33">
        <v>0</v>
      </c>
    </row>
    <row r="6" spans="2:32" x14ac:dyDescent="0.2">
      <c r="B6" s="25" t="s">
        <v>38</v>
      </c>
      <c r="C6" s="27">
        <v>17416.067382547462</v>
      </c>
      <c r="D6" s="33">
        <v>84623.710285940659</v>
      </c>
      <c r="E6" s="27">
        <v>776.14626461819694</v>
      </c>
      <c r="F6" s="33">
        <v>4067.3218736944068</v>
      </c>
      <c r="G6" s="27">
        <v>664.90712819704333</v>
      </c>
      <c r="H6" s="33">
        <v>3570.6157425887527</v>
      </c>
      <c r="I6" s="27">
        <v>1290.9559273518571</v>
      </c>
      <c r="J6" s="33">
        <v>7162.9009178788938</v>
      </c>
      <c r="K6" s="27">
        <v>297.26120049282872</v>
      </c>
      <c r="L6" s="33">
        <v>1684.6554133962243</v>
      </c>
    </row>
    <row r="7" spans="2:32" x14ac:dyDescent="0.2">
      <c r="B7" s="25" t="s">
        <v>39</v>
      </c>
      <c r="C7" s="27">
        <v>12324.591119109784</v>
      </c>
      <c r="D7" s="33">
        <v>185966.68365505702</v>
      </c>
      <c r="E7" s="27">
        <v>1234.5411991537239</v>
      </c>
      <c r="F7" s="33">
        <v>18990.844142236576</v>
      </c>
      <c r="G7" s="27">
        <v>1356.8041178691874</v>
      </c>
      <c r="H7" s="33">
        <v>21551.631651920463</v>
      </c>
      <c r="I7" s="27">
        <v>2971.4239402625335</v>
      </c>
      <c r="J7" s="33">
        <v>47274.801213597399</v>
      </c>
      <c r="K7" s="27">
        <v>573.72686329930173</v>
      </c>
      <c r="L7" s="33">
        <v>8947.3862418534609</v>
      </c>
    </row>
    <row r="8" spans="2:32" x14ac:dyDescent="0.2">
      <c r="B8" s="25" t="s">
        <v>40</v>
      </c>
      <c r="C8" s="27">
        <v>12962.247829743141</v>
      </c>
      <c r="D8" s="33">
        <v>324236.47642575059</v>
      </c>
      <c r="E8" s="27">
        <v>2096.261647175967</v>
      </c>
      <c r="F8" s="33">
        <v>53385.273788335144</v>
      </c>
      <c r="G8" s="27">
        <v>5043.8329335704475</v>
      </c>
      <c r="H8" s="33">
        <v>129228.37703852291</v>
      </c>
      <c r="I8" s="27">
        <v>5773.7577982200273</v>
      </c>
      <c r="J8" s="33">
        <v>144914.22467930726</v>
      </c>
      <c r="K8" s="27">
        <v>907.99334324725919</v>
      </c>
      <c r="L8" s="33">
        <v>23048.723797263705</v>
      </c>
    </row>
    <row r="9" spans="2:32" x14ac:dyDescent="0.2">
      <c r="B9" s="25" t="s">
        <v>41</v>
      </c>
      <c r="C9" s="27">
        <v>38869.655686215519</v>
      </c>
      <c r="D9" s="33">
        <v>1583595.9844868169</v>
      </c>
      <c r="E9" s="27">
        <v>13394.739797553513</v>
      </c>
      <c r="F9" s="33">
        <v>562343.67092907894</v>
      </c>
      <c r="G9" s="27">
        <v>9952.0674598192982</v>
      </c>
      <c r="H9" s="33">
        <v>391178.27028818679</v>
      </c>
      <c r="I9" s="27">
        <v>14415.320461205331</v>
      </c>
      <c r="J9" s="33">
        <v>580643.62304258847</v>
      </c>
      <c r="K9" s="27">
        <v>2483.7438238139534</v>
      </c>
      <c r="L9" s="33">
        <v>100139.05634341556</v>
      </c>
    </row>
    <row r="10" spans="2:32" x14ac:dyDescent="0.2">
      <c r="B10" s="25" t="s">
        <v>42</v>
      </c>
      <c r="C10" s="27">
        <v>31455.846682262178</v>
      </c>
      <c r="D10" s="33">
        <v>1888554.4598653966</v>
      </c>
      <c r="E10" s="27">
        <v>32964.680814157924</v>
      </c>
      <c r="F10" s="33">
        <v>2093687.3772337986</v>
      </c>
      <c r="G10" s="27">
        <v>5800.5860808786356</v>
      </c>
      <c r="H10" s="33">
        <v>349698.33409471845</v>
      </c>
      <c r="I10" s="27">
        <v>13346.76913388305</v>
      </c>
      <c r="J10" s="33">
        <v>813339.95828154951</v>
      </c>
      <c r="K10" s="27">
        <v>2179.5033893498016</v>
      </c>
      <c r="L10" s="33">
        <v>132857.46055780788</v>
      </c>
    </row>
    <row r="11" spans="2:32" x14ac:dyDescent="0.2">
      <c r="B11" s="25" t="s">
        <v>43</v>
      </c>
      <c r="C11" s="27">
        <v>8748.8001681618171</v>
      </c>
      <c r="D11" s="33">
        <v>743863.0387305239</v>
      </c>
      <c r="E11" s="27">
        <v>35228.932069588045</v>
      </c>
      <c r="F11" s="33">
        <v>3061681.2063364624</v>
      </c>
      <c r="G11" s="27">
        <v>1864.7526354978966</v>
      </c>
      <c r="H11" s="33">
        <v>159193.37354553974</v>
      </c>
      <c r="I11" s="27">
        <v>5193.7192858453091</v>
      </c>
      <c r="J11" s="33">
        <v>443258.44387196976</v>
      </c>
      <c r="K11" s="27">
        <v>787.90131205171747</v>
      </c>
      <c r="L11" s="33">
        <v>67641.477726617828</v>
      </c>
    </row>
    <row r="12" spans="2:32" x14ac:dyDescent="0.2">
      <c r="B12" s="25" t="s">
        <v>44</v>
      </c>
      <c r="C12" s="27">
        <v>3821.6593454458862</v>
      </c>
      <c r="D12" s="33">
        <v>445782.40320521739</v>
      </c>
      <c r="E12" s="27">
        <v>33114.181956388995</v>
      </c>
      <c r="F12" s="33">
        <v>3963180.1181306103</v>
      </c>
      <c r="G12" s="27">
        <v>1022.5933773201338</v>
      </c>
      <c r="H12" s="33">
        <v>120140.71251809494</v>
      </c>
      <c r="I12" s="27">
        <v>2558.4154798095151</v>
      </c>
      <c r="J12" s="33">
        <v>300488.83357297088</v>
      </c>
      <c r="K12" s="27">
        <v>449.6030169093479</v>
      </c>
      <c r="L12" s="33">
        <v>52434.622251811139</v>
      </c>
    </row>
    <row r="13" spans="2:32" x14ac:dyDescent="0.2">
      <c r="B13" s="25" t="s">
        <v>45</v>
      </c>
      <c r="C13" s="27">
        <v>928.351200338696</v>
      </c>
      <c r="D13" s="33">
        <v>168806.48779657242</v>
      </c>
      <c r="E13" s="27">
        <v>12827.738289922649</v>
      </c>
      <c r="F13" s="33">
        <v>2354446.021974558</v>
      </c>
      <c r="G13" s="27">
        <v>325.56095919388508</v>
      </c>
      <c r="H13" s="33">
        <v>59778.332979861567</v>
      </c>
      <c r="I13" s="27">
        <v>779.70204202340085</v>
      </c>
      <c r="J13" s="33">
        <v>145009.13957201145</v>
      </c>
      <c r="K13" s="27">
        <v>186.46641927153416</v>
      </c>
      <c r="L13" s="33">
        <v>34800.008480451965</v>
      </c>
    </row>
    <row r="14" spans="2:32" x14ac:dyDescent="0.2">
      <c r="B14" s="25" t="s">
        <v>46</v>
      </c>
      <c r="C14" s="27">
        <v>241.10758912214607</v>
      </c>
      <c r="D14" s="33">
        <v>78242.651869234935</v>
      </c>
      <c r="E14" s="27">
        <v>3408.5796010711224</v>
      </c>
      <c r="F14" s="33">
        <v>1113626.5456635803</v>
      </c>
      <c r="G14" s="27">
        <v>86.57151632405764</v>
      </c>
      <c r="H14" s="33">
        <v>27558.572709720695</v>
      </c>
      <c r="I14" s="27">
        <v>213.08717967062952</v>
      </c>
      <c r="J14" s="33">
        <v>68316.323681330628</v>
      </c>
      <c r="K14" s="27">
        <v>47.583831574609874</v>
      </c>
      <c r="L14" s="33">
        <v>15182.640643270015</v>
      </c>
    </row>
    <row r="15" spans="2:32" x14ac:dyDescent="0.2">
      <c r="B15" s="25" t="s">
        <v>47</v>
      </c>
      <c r="C15" s="27">
        <v>40.029087952576027</v>
      </c>
      <c r="D15" s="33">
        <v>25935.157315065164</v>
      </c>
      <c r="E15" s="27">
        <v>653.35861084282442</v>
      </c>
      <c r="F15" s="33">
        <v>423117.39527772844</v>
      </c>
      <c r="G15" s="27">
        <v>20.656967687094532</v>
      </c>
      <c r="H15" s="33">
        <v>13162.617503846583</v>
      </c>
      <c r="I15" s="27">
        <v>44.900977915686703</v>
      </c>
      <c r="J15" s="33">
        <v>28885.710047614066</v>
      </c>
      <c r="K15" s="27">
        <v>13.269093930480953</v>
      </c>
      <c r="L15" s="33">
        <v>9018.3141214073858</v>
      </c>
    </row>
    <row r="16" spans="2:32" x14ac:dyDescent="0.2">
      <c r="B16" s="101" t="s">
        <v>48</v>
      </c>
      <c r="C16" s="27">
        <v>15.040884820747523</v>
      </c>
      <c r="D16" s="33">
        <v>32683.10947093822</v>
      </c>
      <c r="E16" s="27">
        <v>188.07385772348442</v>
      </c>
      <c r="F16" s="33">
        <v>488320.41639965418</v>
      </c>
      <c r="G16" s="27">
        <v>4.786786786786787</v>
      </c>
      <c r="H16" s="33">
        <v>13070.201097597595</v>
      </c>
      <c r="I16" s="27">
        <v>13.598681993335621</v>
      </c>
      <c r="J16" s="33">
        <v>23154.111399621666</v>
      </c>
      <c r="K16" s="27">
        <v>5.401165871754106</v>
      </c>
      <c r="L16" s="33">
        <v>16427.724562268148</v>
      </c>
    </row>
    <row r="17" spans="2:12" x14ac:dyDescent="0.2">
      <c r="B17" s="10" t="s">
        <v>0</v>
      </c>
      <c r="C17" s="96">
        <f>SUM(C5:C16)</f>
        <v>137861.60351686753</v>
      </c>
      <c r="D17" s="31">
        <f t="shared" ref="D17:L17" si="0">SUM(D5:D16)</f>
        <v>5562290.1631065132</v>
      </c>
      <c r="E17" s="96">
        <f t="shared" si="0"/>
        <v>136909.86229839548</v>
      </c>
      <c r="F17" s="31">
        <f t="shared" si="0"/>
        <v>14136846.191749737</v>
      </c>
      <c r="G17" s="96">
        <f t="shared" si="0"/>
        <v>27564.305186551846</v>
      </c>
      <c r="H17" s="31">
        <f t="shared" si="0"/>
        <v>1288131.0391705984</v>
      </c>
      <c r="I17" s="96">
        <f t="shared" si="0"/>
        <v>47994.033850024258</v>
      </c>
      <c r="J17" s="31">
        <f t="shared" si="0"/>
        <v>2602448.0702804402</v>
      </c>
      <c r="K17" s="96">
        <f t="shared" si="0"/>
        <v>8263.2728858952432</v>
      </c>
      <c r="L17" s="31">
        <f t="shared" si="0"/>
        <v>462182.07013956323</v>
      </c>
    </row>
    <row r="19" spans="2:12" x14ac:dyDescent="0.2">
      <c r="B19" s="261" t="s">
        <v>33</v>
      </c>
      <c r="C19" s="260"/>
      <c r="D19" s="260"/>
      <c r="E19" s="260"/>
      <c r="F19" s="260"/>
      <c r="G19" s="260"/>
      <c r="H19" s="260"/>
      <c r="I19" s="260"/>
      <c r="J19" s="260"/>
      <c r="K19" s="260"/>
      <c r="L19" s="260"/>
    </row>
  </sheetData>
  <mergeCells count="7">
    <mergeCell ref="B19:L19"/>
    <mergeCell ref="B3:B4"/>
    <mergeCell ref="C3:D3"/>
    <mergeCell ref="E3:F3"/>
    <mergeCell ref="G3:H3"/>
    <mergeCell ref="I3:J3"/>
    <mergeCell ref="K3:L3"/>
  </mergeCells>
  <pageMargins left="0.78740157480314965" right="0.78740157480314965" top="0.98425196850393704" bottom="0.98425196850393704" header="0.51181102362204722" footer="0.51181102362204722"/>
  <pageSetup paperSize="9" scale="84" orientation="landscape" r:id="rId1"/>
  <headerFooter alignWithMargins="0"/>
  <colBreaks count="1" manualBreakCount="1">
    <brk id="14" max="42"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97E"/>
    <pageSetUpPr fitToPage="1"/>
  </sheetPr>
  <dimension ref="B1:AF18"/>
  <sheetViews>
    <sheetView view="pageBreakPreview" zoomScaleNormal="100" zoomScaleSheetLayoutView="100" zoomScalePageLayoutView="70" workbookViewId="0"/>
  </sheetViews>
  <sheetFormatPr baseColWidth="10" defaultRowHeight="12.75" x14ac:dyDescent="0.2"/>
  <cols>
    <col min="1" max="1" width="2" style="81" customWidth="1"/>
    <col min="2" max="2" width="16.28515625" style="81" customWidth="1"/>
    <col min="3" max="3" width="12.7109375" style="81" customWidth="1"/>
    <col min="4" max="4" width="14.7109375" style="81" customWidth="1"/>
    <col min="5" max="5" width="12.7109375" style="81" customWidth="1"/>
    <col min="6" max="6" width="14.7109375" style="81" customWidth="1"/>
    <col min="7" max="7" width="12.7109375" style="81" customWidth="1"/>
    <col min="8" max="8" width="14.7109375" style="81" customWidth="1"/>
    <col min="9" max="9" width="12.7109375" style="81" customWidth="1"/>
    <col min="10" max="10" width="14.7109375" style="81" customWidth="1"/>
    <col min="11" max="11" width="12.7109375" style="81" customWidth="1"/>
    <col min="12" max="12" width="14.7109375" style="81" customWidth="1"/>
    <col min="13" max="13" width="3.42578125" style="81" customWidth="1"/>
    <col min="14" max="16384" width="11.42578125" style="81"/>
  </cols>
  <sheetData>
    <row r="1" spans="2:32" s="11" customFormat="1" ht="15.75" x14ac:dyDescent="0.2">
      <c r="B1" s="213" t="str">
        <f>Inhaltsverzeichnis!B36&amp;" "&amp;Inhaltsverzeichnis!C36&amp;" "&amp;Inhaltsverzeichnis!E36</f>
        <v>Tabelle  11b: Verteilung der Pflichtigen und des Reinvermögens nach Zivilstand und Stufen des Reinvermögens, 2013</v>
      </c>
      <c r="C1" s="214"/>
      <c r="D1" s="214"/>
      <c r="E1" s="214"/>
      <c r="F1" s="214"/>
      <c r="G1" s="214"/>
      <c r="H1" s="214"/>
      <c r="I1" s="214"/>
      <c r="J1" s="214"/>
      <c r="K1" s="214"/>
      <c r="L1" s="214"/>
      <c r="M1" s="214"/>
      <c r="N1" s="214"/>
      <c r="O1" s="214"/>
      <c r="P1" s="214"/>
      <c r="Q1" s="214"/>
      <c r="R1" s="214"/>
      <c r="S1" s="214"/>
      <c r="T1" s="78"/>
      <c r="U1" s="78"/>
      <c r="V1" s="78"/>
      <c r="W1" s="78"/>
      <c r="X1" s="78"/>
      <c r="Y1" s="78"/>
      <c r="Z1" s="78"/>
      <c r="AA1" s="78"/>
      <c r="AB1" s="78"/>
      <c r="AC1" s="78"/>
      <c r="AD1" s="78"/>
      <c r="AE1" s="78"/>
      <c r="AF1" s="78"/>
    </row>
    <row r="3" spans="2:32" s="45" customFormat="1" x14ac:dyDescent="0.2">
      <c r="B3" s="248" t="s">
        <v>569</v>
      </c>
      <c r="C3" s="251" t="s">
        <v>64</v>
      </c>
      <c r="D3" s="247"/>
      <c r="E3" s="246" t="s">
        <v>68</v>
      </c>
      <c r="F3" s="250"/>
      <c r="G3" s="246" t="s">
        <v>108</v>
      </c>
      <c r="H3" s="247"/>
      <c r="I3" s="246" t="s">
        <v>67</v>
      </c>
      <c r="J3" s="247"/>
      <c r="K3" s="246" t="s">
        <v>69</v>
      </c>
      <c r="L3" s="247"/>
    </row>
    <row r="4" spans="2:32" ht="25.5" x14ac:dyDescent="0.2">
      <c r="B4" s="249"/>
      <c r="C4" s="196" t="s">
        <v>441</v>
      </c>
      <c r="D4" s="205" t="s">
        <v>568</v>
      </c>
      <c r="E4" s="196" t="s">
        <v>441</v>
      </c>
      <c r="F4" s="205" t="s">
        <v>568</v>
      </c>
      <c r="G4" s="196" t="s">
        <v>441</v>
      </c>
      <c r="H4" s="205" t="s">
        <v>568</v>
      </c>
      <c r="I4" s="196" t="s">
        <v>441</v>
      </c>
      <c r="J4" s="205" t="s">
        <v>568</v>
      </c>
      <c r="K4" s="196" t="s">
        <v>441</v>
      </c>
      <c r="L4" s="205" t="s">
        <v>568</v>
      </c>
    </row>
    <row r="5" spans="2:32" x14ac:dyDescent="0.2">
      <c r="B5" s="25">
        <v>0</v>
      </c>
      <c r="C5" s="27">
        <v>27976.875355994038</v>
      </c>
      <c r="D5" s="33">
        <v>0</v>
      </c>
      <c r="E5" s="27">
        <v>29812.195243815939</v>
      </c>
      <c r="F5" s="33">
        <v>0</v>
      </c>
      <c r="G5" s="27">
        <v>1367.2558748135716</v>
      </c>
      <c r="H5" s="33">
        <v>0</v>
      </c>
      <c r="I5" s="27">
        <v>12469.518822335571</v>
      </c>
      <c r="J5" s="33">
        <v>0</v>
      </c>
      <c r="K5" s="27">
        <v>2663.7952390166984</v>
      </c>
      <c r="L5" s="33">
        <v>0</v>
      </c>
    </row>
    <row r="6" spans="2:32" x14ac:dyDescent="0.2">
      <c r="B6" s="25" t="s">
        <v>49</v>
      </c>
      <c r="C6" s="27">
        <v>55432.762992787073</v>
      </c>
      <c r="D6" s="33">
        <v>482140.66514483793</v>
      </c>
      <c r="E6" s="27">
        <v>14959.388161547293</v>
      </c>
      <c r="F6" s="33">
        <v>143204.40505743324</v>
      </c>
      <c r="G6" s="27">
        <v>3004.7846473296745</v>
      </c>
      <c r="H6" s="33">
        <v>27277.323308610412</v>
      </c>
      <c r="I6" s="27">
        <v>11741.754859039253</v>
      </c>
      <c r="J6" s="33">
        <v>98248.692187265726</v>
      </c>
      <c r="K6" s="27">
        <v>2148.7694855502505</v>
      </c>
      <c r="L6" s="33">
        <v>17101.818281470129</v>
      </c>
    </row>
    <row r="7" spans="2:32" x14ac:dyDescent="0.2">
      <c r="B7" s="25" t="s">
        <v>51</v>
      </c>
      <c r="C7" s="27">
        <v>16116.173227450361</v>
      </c>
      <c r="D7" s="33">
        <v>576027.4753522448</v>
      </c>
      <c r="E7" s="27">
        <v>7560.3187941597716</v>
      </c>
      <c r="F7" s="33">
        <v>279240.143107098</v>
      </c>
      <c r="G7" s="27">
        <v>1481.5356873238929</v>
      </c>
      <c r="H7" s="33">
        <v>54846.355317778609</v>
      </c>
      <c r="I7" s="27">
        <v>4131.7176461643503</v>
      </c>
      <c r="J7" s="33">
        <v>150850.99408050047</v>
      </c>
      <c r="K7" s="27">
        <v>620.87851780253845</v>
      </c>
      <c r="L7" s="33">
        <v>22653.658307352758</v>
      </c>
    </row>
    <row r="8" spans="2:32" x14ac:dyDescent="0.2">
      <c r="B8" s="25" t="s">
        <v>52</v>
      </c>
      <c r="C8" s="27">
        <v>13774.28204152195</v>
      </c>
      <c r="D8" s="33">
        <v>978478.58309726103</v>
      </c>
      <c r="E8" s="27">
        <v>11155.26193365492</v>
      </c>
      <c r="F8" s="33">
        <v>818695.19974605914</v>
      </c>
      <c r="G8" s="27">
        <v>2215.6508320632129</v>
      </c>
      <c r="H8" s="33">
        <v>164297.33349463873</v>
      </c>
      <c r="I8" s="27">
        <v>4958.8300803165566</v>
      </c>
      <c r="J8" s="33">
        <v>361457.20007217408</v>
      </c>
      <c r="K8" s="27">
        <v>758.91081602376869</v>
      </c>
      <c r="L8" s="33">
        <v>54835.034736168331</v>
      </c>
    </row>
    <row r="9" spans="2:32" x14ac:dyDescent="0.2">
      <c r="B9" s="25" t="s">
        <v>53</v>
      </c>
      <c r="C9" s="27">
        <v>12301.936060999384</v>
      </c>
      <c r="D9" s="33">
        <v>1936885.7633572679</v>
      </c>
      <c r="E9" s="27">
        <v>21520.365636879869</v>
      </c>
      <c r="F9" s="33">
        <v>3605820.8012704798</v>
      </c>
      <c r="G9" s="27">
        <v>4715.4323661807066</v>
      </c>
      <c r="H9" s="33">
        <v>804770.82491019904</v>
      </c>
      <c r="I9" s="27">
        <v>6746.2635847104348</v>
      </c>
      <c r="J9" s="33">
        <v>1095225.4240581943</v>
      </c>
      <c r="K9" s="27">
        <v>929.49374003560047</v>
      </c>
      <c r="L9" s="33">
        <v>151866.09733771853</v>
      </c>
    </row>
    <row r="10" spans="2:32" x14ac:dyDescent="0.2">
      <c r="B10" s="25" t="s">
        <v>54</v>
      </c>
      <c r="C10" s="27">
        <v>6207.4254776817761</v>
      </c>
      <c r="D10" s="33">
        <v>2194215.0770776523</v>
      </c>
      <c r="E10" s="27">
        <v>19444.366852976997</v>
      </c>
      <c r="F10" s="33">
        <v>7040184.1573977955</v>
      </c>
      <c r="G10" s="27">
        <v>5825.0646860352736</v>
      </c>
      <c r="H10" s="33">
        <v>2140397.004529173</v>
      </c>
      <c r="I10" s="27">
        <v>4090.2419287886055</v>
      </c>
      <c r="J10" s="33">
        <v>1442420.613379264</v>
      </c>
      <c r="K10" s="27">
        <v>580.66944079991879</v>
      </c>
      <c r="L10" s="33">
        <v>204595.2298961175</v>
      </c>
    </row>
    <row r="11" spans="2:32" x14ac:dyDescent="0.2">
      <c r="B11" s="25" t="s">
        <v>55</v>
      </c>
      <c r="C11" s="27">
        <v>2578.274593001915</v>
      </c>
      <c r="D11" s="33">
        <v>1573723.7653094071</v>
      </c>
      <c r="E11" s="27">
        <v>11304.026377862807</v>
      </c>
      <c r="F11" s="33">
        <v>6941877.3285323335</v>
      </c>
      <c r="G11" s="27">
        <v>3555.20309453645</v>
      </c>
      <c r="H11" s="33">
        <v>2180058.1711632083</v>
      </c>
      <c r="I11" s="27">
        <v>1785.0089295548773</v>
      </c>
      <c r="J11" s="33">
        <v>1084325.0346772957</v>
      </c>
      <c r="K11" s="27">
        <v>217.3631516616048</v>
      </c>
      <c r="L11" s="33">
        <v>132290.77092610355</v>
      </c>
    </row>
    <row r="12" spans="2:32" x14ac:dyDescent="0.2">
      <c r="B12" s="25" t="s">
        <v>56</v>
      </c>
      <c r="C12" s="27">
        <v>1257.3507370569478</v>
      </c>
      <c r="D12" s="33">
        <v>1079904.8331966929</v>
      </c>
      <c r="E12" s="27">
        <v>6628.2307517117761</v>
      </c>
      <c r="F12" s="33">
        <v>5731713.4131597718</v>
      </c>
      <c r="G12" s="27">
        <v>1974.7910783721145</v>
      </c>
      <c r="H12" s="33">
        <v>1700050.8362560538</v>
      </c>
      <c r="I12" s="27">
        <v>727.33099549781764</v>
      </c>
      <c r="J12" s="33">
        <v>625899.69142819592</v>
      </c>
      <c r="K12" s="27">
        <v>105.70244426887183</v>
      </c>
      <c r="L12" s="33">
        <v>92384.28800990383</v>
      </c>
    </row>
    <row r="13" spans="2:32" x14ac:dyDescent="0.2">
      <c r="B13" s="25" t="s">
        <v>57</v>
      </c>
      <c r="C13" s="27">
        <v>2092.4037484214223</v>
      </c>
      <c r="D13" s="33">
        <v>3549150.0418747729</v>
      </c>
      <c r="E13" s="27">
        <v>13466.709357112502</v>
      </c>
      <c r="F13" s="33">
        <v>24590249.7087695</v>
      </c>
      <c r="G13" s="27">
        <v>3259.9895910829755</v>
      </c>
      <c r="H13" s="33">
        <v>5625427.1620839238</v>
      </c>
      <c r="I13" s="27">
        <v>1238.7797882283996</v>
      </c>
      <c r="J13" s="33">
        <v>2224732.1887420998</v>
      </c>
      <c r="K13" s="27">
        <v>206.92113084548109</v>
      </c>
      <c r="L13" s="33">
        <v>353193.90086628968</v>
      </c>
    </row>
    <row r="14" spans="2:32" x14ac:dyDescent="0.2">
      <c r="B14" s="25" t="s">
        <v>58</v>
      </c>
      <c r="C14" s="27">
        <v>83.153608703328047</v>
      </c>
      <c r="D14" s="33">
        <v>566752.90302791598</v>
      </c>
      <c r="E14" s="27">
        <v>711.81155587986188</v>
      </c>
      <c r="F14" s="33">
        <v>4828386.8621395202</v>
      </c>
      <c r="G14" s="27">
        <v>118.58308285901987</v>
      </c>
      <c r="H14" s="33">
        <v>783096.87710412219</v>
      </c>
      <c r="I14" s="27">
        <v>61.644745466870972</v>
      </c>
      <c r="J14" s="33">
        <v>411077.5726873551</v>
      </c>
      <c r="K14" s="27">
        <v>21.254135594606538</v>
      </c>
      <c r="L14" s="33">
        <v>135547.50680763088</v>
      </c>
    </row>
    <row r="15" spans="2:32" x14ac:dyDescent="0.2">
      <c r="B15" s="26" t="s">
        <v>50</v>
      </c>
      <c r="C15" s="27">
        <v>40.965673255138441</v>
      </c>
      <c r="D15" s="33">
        <v>1396034.7900287441</v>
      </c>
      <c r="E15" s="27">
        <v>347.18763278911615</v>
      </c>
      <c r="F15" s="33">
        <v>7659015.9600847801</v>
      </c>
      <c r="G15" s="27">
        <v>46.014245955206761</v>
      </c>
      <c r="H15" s="33">
        <v>3404489.0951650962</v>
      </c>
      <c r="I15" s="27">
        <v>42.942469923313375</v>
      </c>
      <c r="J15" s="33">
        <v>727745.90281341795</v>
      </c>
      <c r="K15" s="27">
        <v>9.5147842959201974</v>
      </c>
      <c r="L15" s="33">
        <v>287236.52945124434</v>
      </c>
    </row>
    <row r="16" spans="2:32" x14ac:dyDescent="0.2">
      <c r="B16" s="10" t="s">
        <v>0</v>
      </c>
      <c r="C16" s="96">
        <f t="shared" ref="C16:L16" si="0">SUM(C5:C15)</f>
        <v>137861.60351687335</v>
      </c>
      <c r="D16" s="31">
        <f t="shared" si="0"/>
        <v>14333313.897466796</v>
      </c>
      <c r="E16" s="96">
        <f t="shared" si="0"/>
        <v>136909.86229839086</v>
      </c>
      <c r="F16" s="31">
        <f t="shared" si="0"/>
        <v>61638387.979264781</v>
      </c>
      <c r="G16" s="96">
        <f t="shared" si="0"/>
        <v>27564.305186552101</v>
      </c>
      <c r="H16" s="31">
        <f t="shared" si="0"/>
        <v>16884710.983332805</v>
      </c>
      <c r="I16" s="96">
        <f t="shared" si="0"/>
        <v>47994.033850026048</v>
      </c>
      <c r="J16" s="31">
        <f t="shared" si="0"/>
        <v>8221983.3141257623</v>
      </c>
      <c r="K16" s="96">
        <f t="shared" si="0"/>
        <v>8263.2728858952578</v>
      </c>
      <c r="L16" s="31">
        <f t="shared" si="0"/>
        <v>1451704.8346199994</v>
      </c>
    </row>
    <row r="18" spans="2:12" x14ac:dyDescent="0.2">
      <c r="B18" s="261" t="s">
        <v>33</v>
      </c>
      <c r="C18" s="260"/>
      <c r="D18" s="260"/>
      <c r="E18" s="260"/>
      <c r="F18" s="260"/>
      <c r="G18" s="260"/>
      <c r="H18" s="260"/>
      <c r="I18" s="260"/>
      <c r="J18" s="260"/>
      <c r="K18" s="260"/>
      <c r="L18" s="260"/>
    </row>
  </sheetData>
  <mergeCells count="7">
    <mergeCell ref="B18:L18"/>
    <mergeCell ref="B3:B4"/>
    <mergeCell ref="C3:D3"/>
    <mergeCell ref="E3:F3"/>
    <mergeCell ref="G3:H3"/>
    <mergeCell ref="I3:J3"/>
    <mergeCell ref="K3:L3"/>
  </mergeCells>
  <pageMargins left="0.78740157480314965" right="0.78740157480314965" top="0.98425196850393704" bottom="0.98425196850393704" header="0.51181102362204722" footer="0.51181102362204722"/>
  <pageSetup paperSize="9" scale="84" orientation="landscape" r:id="rId1"/>
  <headerFooter alignWithMargins="0"/>
  <colBreaks count="1" manualBreakCount="1">
    <brk id="14" max="42"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97E"/>
    <pageSetUpPr fitToPage="1"/>
  </sheetPr>
  <dimension ref="B1:AF19"/>
  <sheetViews>
    <sheetView view="pageBreakPreview" zoomScaleNormal="100" zoomScaleSheetLayoutView="100" zoomScalePageLayoutView="70" workbookViewId="0"/>
  </sheetViews>
  <sheetFormatPr baseColWidth="10" defaultRowHeight="12.75" x14ac:dyDescent="0.2"/>
  <cols>
    <col min="1" max="1" width="2" style="81" customWidth="1"/>
    <col min="2" max="2" width="16.28515625" style="81" customWidth="1"/>
    <col min="3" max="3" width="12.7109375" style="81" customWidth="1"/>
    <col min="4" max="4" width="14.7109375" style="81" customWidth="1"/>
    <col min="5" max="5" width="12.7109375" style="81" customWidth="1"/>
    <col min="6" max="6" width="14.7109375" style="81" customWidth="1"/>
    <col min="7" max="7" width="12.7109375" style="81" customWidth="1"/>
    <col min="8" max="8" width="14.7109375" style="81" customWidth="1"/>
    <col min="9" max="9" width="12.7109375" style="81" customWidth="1"/>
    <col min="10" max="10" width="14.7109375" style="81" customWidth="1"/>
    <col min="11" max="11" width="12.7109375" style="81" customWidth="1"/>
    <col min="12" max="12" width="14.7109375" style="81" customWidth="1"/>
    <col min="13" max="13" width="5.42578125" style="81" customWidth="1"/>
    <col min="14" max="16384" width="11.42578125" style="81"/>
  </cols>
  <sheetData>
    <row r="1" spans="2:32" s="11" customFormat="1" ht="15.75" x14ac:dyDescent="0.2">
      <c r="B1" s="213" t="str">
        <f>Inhaltsverzeichnis!B37&amp;" "&amp;Inhaltsverzeichnis!C37&amp;" "&amp;Inhaltsverzeichnis!E37</f>
        <v>Tabelle  12a: Verteilung der Pflichtigen und des Reineinkommens nach Altersklassen und Stufen des Reineinkommens, 2013</v>
      </c>
      <c r="C1" s="214"/>
      <c r="D1" s="214"/>
      <c r="E1" s="214"/>
      <c r="F1" s="214"/>
      <c r="G1" s="214"/>
      <c r="H1" s="214"/>
      <c r="I1" s="214"/>
      <c r="J1" s="214"/>
      <c r="K1" s="214"/>
      <c r="L1" s="214"/>
      <c r="M1" s="214"/>
      <c r="N1" s="214"/>
      <c r="O1" s="214"/>
      <c r="P1" s="214"/>
      <c r="Q1" s="214"/>
      <c r="R1" s="214"/>
      <c r="S1" s="214"/>
      <c r="T1" s="78"/>
      <c r="U1" s="78"/>
      <c r="V1" s="78"/>
      <c r="W1" s="78"/>
      <c r="X1" s="78"/>
      <c r="Y1" s="78"/>
      <c r="Z1" s="78"/>
      <c r="AA1" s="78"/>
      <c r="AB1" s="78"/>
      <c r="AC1" s="78"/>
      <c r="AD1" s="78"/>
      <c r="AE1" s="78"/>
      <c r="AF1" s="78"/>
    </row>
    <row r="3" spans="2:32" s="45" customFormat="1" x14ac:dyDescent="0.2">
      <c r="B3" s="248" t="s">
        <v>570</v>
      </c>
      <c r="C3" s="285" t="s">
        <v>95</v>
      </c>
      <c r="D3" s="247"/>
      <c r="E3" s="246" t="s">
        <v>96</v>
      </c>
      <c r="F3" s="250"/>
      <c r="G3" s="246" t="s">
        <v>97</v>
      </c>
      <c r="H3" s="247"/>
      <c r="I3" s="246" t="s">
        <v>98</v>
      </c>
      <c r="J3" s="247"/>
      <c r="K3" s="286" t="s">
        <v>99</v>
      </c>
      <c r="L3" s="247"/>
    </row>
    <row r="4" spans="2:32" ht="25.5" x14ac:dyDescent="0.2">
      <c r="B4" s="249"/>
      <c r="C4" s="196" t="s">
        <v>441</v>
      </c>
      <c r="D4" s="203" t="s">
        <v>567</v>
      </c>
      <c r="E4" s="196" t="s">
        <v>441</v>
      </c>
      <c r="F4" s="203" t="s">
        <v>567</v>
      </c>
      <c r="G4" s="196" t="s">
        <v>441</v>
      </c>
      <c r="H4" s="203" t="s">
        <v>567</v>
      </c>
      <c r="I4" s="196" t="s">
        <v>441</v>
      </c>
      <c r="J4" s="203" t="s">
        <v>567</v>
      </c>
      <c r="K4" s="196" t="s">
        <v>441</v>
      </c>
      <c r="L4" s="203" t="s">
        <v>567</v>
      </c>
    </row>
    <row r="5" spans="2:32" x14ac:dyDescent="0.2">
      <c r="B5" s="25">
        <v>0</v>
      </c>
      <c r="C5" s="27">
        <v>3612.4669032649017</v>
      </c>
      <c r="D5" s="33">
        <v>0</v>
      </c>
      <c r="E5" s="27">
        <v>5335.7417677450103</v>
      </c>
      <c r="F5" s="33">
        <v>0</v>
      </c>
      <c r="G5" s="27">
        <v>1890.0952625385637</v>
      </c>
      <c r="H5" s="33">
        <v>0</v>
      </c>
      <c r="I5" s="27">
        <v>2095.1012309222274</v>
      </c>
      <c r="J5" s="33">
        <v>0</v>
      </c>
      <c r="K5" s="27">
        <v>2271.8171582095056</v>
      </c>
      <c r="L5" s="33">
        <v>0</v>
      </c>
    </row>
    <row r="6" spans="2:32" x14ac:dyDescent="0.2">
      <c r="B6" s="25" t="s">
        <v>38</v>
      </c>
      <c r="C6" s="27">
        <v>6872.3817536768356</v>
      </c>
      <c r="D6" s="33">
        <v>31705.042274211588</v>
      </c>
      <c r="E6" s="27">
        <v>9309.5336051040431</v>
      </c>
      <c r="F6" s="33">
        <v>46363.119056715397</v>
      </c>
      <c r="G6" s="27">
        <v>1289.0816559908887</v>
      </c>
      <c r="H6" s="33">
        <v>6984.4932579459</v>
      </c>
      <c r="I6" s="27">
        <v>1769.068029965551</v>
      </c>
      <c r="J6" s="33">
        <v>9340.3817211121495</v>
      </c>
      <c r="K6" s="27">
        <v>1205.2728584703189</v>
      </c>
      <c r="L6" s="33">
        <v>6716.167923515638</v>
      </c>
    </row>
    <row r="7" spans="2:32" x14ac:dyDescent="0.2">
      <c r="B7" s="25" t="s">
        <v>39</v>
      </c>
      <c r="C7" s="27">
        <v>1573.278163366195</v>
      </c>
      <c r="D7" s="33">
        <v>22539.903576580873</v>
      </c>
      <c r="E7" s="27">
        <v>8074.5560082559014</v>
      </c>
      <c r="F7" s="33">
        <v>121727.97162565945</v>
      </c>
      <c r="G7" s="27">
        <v>2447.6014099188988</v>
      </c>
      <c r="H7" s="33">
        <v>37854.663123108367</v>
      </c>
      <c r="I7" s="27">
        <v>3009.0641805058663</v>
      </c>
      <c r="J7" s="33">
        <v>46396.252468240775</v>
      </c>
      <c r="K7" s="27">
        <v>3356.5874776475716</v>
      </c>
      <c r="L7" s="33">
        <v>54212.556111073391</v>
      </c>
    </row>
    <row r="8" spans="2:32" x14ac:dyDescent="0.2">
      <c r="B8" s="25" t="s">
        <v>40</v>
      </c>
      <c r="C8" s="27">
        <v>762.41361298994207</v>
      </c>
      <c r="D8" s="33">
        <v>18060.849976673453</v>
      </c>
      <c r="E8" s="27">
        <v>8916.2671880315538</v>
      </c>
      <c r="F8" s="33">
        <v>224137.30939950081</v>
      </c>
      <c r="G8" s="27">
        <v>3614.6070396855107</v>
      </c>
      <c r="H8" s="33">
        <v>91436.613928861858</v>
      </c>
      <c r="I8" s="27">
        <v>4230.4785516719903</v>
      </c>
      <c r="J8" s="33">
        <v>106856.85764366234</v>
      </c>
      <c r="K8" s="27">
        <v>9260.3271595775841</v>
      </c>
      <c r="L8" s="33">
        <v>234321.44478047523</v>
      </c>
    </row>
    <row r="9" spans="2:32" x14ac:dyDescent="0.2">
      <c r="B9" s="25" t="s">
        <v>41</v>
      </c>
      <c r="C9" s="27">
        <v>246.08942389973112</v>
      </c>
      <c r="D9" s="33">
        <v>9223.466485486646</v>
      </c>
      <c r="E9" s="27">
        <v>29886.508285388547</v>
      </c>
      <c r="F9" s="33">
        <v>1217019.5266020424</v>
      </c>
      <c r="G9" s="27">
        <v>14171.076331737111</v>
      </c>
      <c r="H9" s="33">
        <v>584624.98733610148</v>
      </c>
      <c r="I9" s="27">
        <v>13896.158686178876</v>
      </c>
      <c r="J9" s="33">
        <v>569530.10340983386</v>
      </c>
      <c r="K9" s="27">
        <v>20915.694501408165</v>
      </c>
      <c r="L9" s="33">
        <v>837502.52125680551</v>
      </c>
    </row>
    <row r="10" spans="2:32" x14ac:dyDescent="0.2">
      <c r="B10" s="25" t="s">
        <v>42</v>
      </c>
      <c r="C10" s="27">
        <v>11.548917686265519</v>
      </c>
      <c r="D10" s="33">
        <v>639.76696848159384</v>
      </c>
      <c r="E10" s="27">
        <v>21376.04443938562</v>
      </c>
      <c r="F10" s="33">
        <v>1279900.7564059407</v>
      </c>
      <c r="G10" s="27">
        <v>24392.323892992663</v>
      </c>
      <c r="H10" s="33">
        <v>1519958.6850803497</v>
      </c>
      <c r="I10" s="27">
        <v>21049.735113809722</v>
      </c>
      <c r="J10" s="33">
        <v>1310653.2685209848</v>
      </c>
      <c r="K10" s="27">
        <v>18917.733736659422</v>
      </c>
      <c r="L10" s="33">
        <v>1166985.1130576257</v>
      </c>
    </row>
    <row r="11" spans="2:32" x14ac:dyDescent="0.2">
      <c r="B11" s="25" t="s">
        <v>43</v>
      </c>
      <c r="C11" s="27">
        <v>1.9686935580975318</v>
      </c>
      <c r="D11" s="33">
        <v>181.53574954846482</v>
      </c>
      <c r="E11" s="27">
        <v>6624.8407167108453</v>
      </c>
      <c r="F11" s="33">
        <v>564823.84607827663</v>
      </c>
      <c r="G11" s="27">
        <v>18765.168426759108</v>
      </c>
      <c r="H11" s="33">
        <v>1625756.6230426037</v>
      </c>
      <c r="I11" s="27">
        <v>16587.302452822511</v>
      </c>
      <c r="J11" s="33">
        <v>1440277.115635172</v>
      </c>
      <c r="K11" s="27">
        <v>9844.8251812921171</v>
      </c>
      <c r="L11" s="33">
        <v>844598.4197053297</v>
      </c>
    </row>
    <row r="12" spans="2:32" x14ac:dyDescent="0.2">
      <c r="B12" s="25" t="s">
        <v>44</v>
      </c>
      <c r="C12" s="27">
        <v>0</v>
      </c>
      <c r="D12" s="33"/>
      <c r="E12" s="27">
        <v>3166.3848182114561</v>
      </c>
      <c r="F12" s="33">
        <v>369685.25965574663</v>
      </c>
      <c r="G12" s="27">
        <v>16186.401651478858</v>
      </c>
      <c r="H12" s="33">
        <v>1929877.7993659473</v>
      </c>
      <c r="I12" s="27">
        <v>15256.560110709384</v>
      </c>
      <c r="J12" s="33">
        <v>1829226.9912779531</v>
      </c>
      <c r="K12" s="27">
        <v>6357.1065954775713</v>
      </c>
      <c r="L12" s="33">
        <v>753236.63937943929</v>
      </c>
    </row>
    <row r="13" spans="2:32" x14ac:dyDescent="0.2">
      <c r="B13" s="25" t="s">
        <v>45</v>
      </c>
      <c r="C13" s="27">
        <v>0</v>
      </c>
      <c r="D13" s="33"/>
      <c r="E13" s="27">
        <v>569.83120950983732</v>
      </c>
      <c r="F13" s="33">
        <v>101409.25048180811</v>
      </c>
      <c r="G13" s="27">
        <v>5839.3103916695927</v>
      </c>
      <c r="H13" s="33">
        <v>1066820.5227744184</v>
      </c>
      <c r="I13" s="27">
        <v>6432.587104110833</v>
      </c>
      <c r="J13" s="33">
        <v>1186788.1847418169</v>
      </c>
      <c r="K13" s="27">
        <v>2206.0902054601461</v>
      </c>
      <c r="L13" s="33">
        <v>407822.03280544525</v>
      </c>
    </row>
    <row r="14" spans="2:32" x14ac:dyDescent="0.2">
      <c r="B14" s="25" t="s">
        <v>46</v>
      </c>
      <c r="C14" s="27">
        <v>0</v>
      </c>
      <c r="D14" s="33"/>
      <c r="E14" s="27">
        <v>55.108395989974952</v>
      </c>
      <c r="F14" s="33">
        <v>17488.172703091648</v>
      </c>
      <c r="G14" s="27">
        <v>1446.4309420457787</v>
      </c>
      <c r="H14" s="33">
        <v>464700.51437956421</v>
      </c>
      <c r="I14" s="27">
        <v>1865.4216414185987</v>
      </c>
      <c r="J14" s="33">
        <v>611927.50249849795</v>
      </c>
      <c r="K14" s="27">
        <v>629.9687383082063</v>
      </c>
      <c r="L14" s="33">
        <v>208810.54498597997</v>
      </c>
    </row>
    <row r="15" spans="2:32" x14ac:dyDescent="0.2">
      <c r="B15" s="25" t="s">
        <v>47</v>
      </c>
      <c r="C15" s="27">
        <v>0</v>
      </c>
      <c r="D15" s="33"/>
      <c r="E15" s="27">
        <v>6</v>
      </c>
      <c r="F15" s="33">
        <v>4389.2989999999991</v>
      </c>
      <c r="G15" s="27">
        <v>233.54277202379595</v>
      </c>
      <c r="H15" s="33">
        <v>150305.66276643294</v>
      </c>
      <c r="I15" s="27">
        <v>367.54257372092917</v>
      </c>
      <c r="J15" s="33">
        <v>236066.16003012567</v>
      </c>
      <c r="K15" s="27">
        <v>165.12939258393794</v>
      </c>
      <c r="L15" s="33">
        <v>109358.07246910319</v>
      </c>
    </row>
    <row r="16" spans="2:32" x14ac:dyDescent="0.2">
      <c r="B16" s="101" t="s">
        <v>48</v>
      </c>
      <c r="C16" s="27">
        <v>0</v>
      </c>
      <c r="D16" s="33"/>
      <c r="E16" s="27">
        <v>3</v>
      </c>
      <c r="F16" s="33">
        <v>9801.8149999999987</v>
      </c>
      <c r="G16" s="27">
        <v>54.630498956008303</v>
      </c>
      <c r="H16" s="33">
        <v>120561.43522982205</v>
      </c>
      <c r="I16" s="27">
        <v>111.33304355226535</v>
      </c>
      <c r="J16" s="33">
        <v>218888.38183848327</v>
      </c>
      <c r="K16" s="27">
        <v>57.937834687834666</v>
      </c>
      <c r="L16" s="33">
        <v>224403.93086177402</v>
      </c>
    </row>
    <row r="17" spans="2:12" x14ac:dyDescent="0.2">
      <c r="B17" s="10" t="s">
        <v>0</v>
      </c>
      <c r="C17" s="96">
        <f>SUM(C5:C16)</f>
        <v>13080.147468441966</v>
      </c>
      <c r="D17" s="31">
        <f t="shared" ref="D17:L17" si="0">SUM(D5:D16)</f>
        <v>82350.565030982616</v>
      </c>
      <c r="E17" s="96">
        <f t="shared" si="0"/>
        <v>93323.816434332795</v>
      </c>
      <c r="F17" s="31">
        <f t="shared" si="0"/>
        <v>3956746.3260087818</v>
      </c>
      <c r="G17" s="96">
        <f t="shared" si="0"/>
        <v>90330.270275796764</v>
      </c>
      <c r="H17" s="31">
        <f t="shared" si="0"/>
        <v>7598882.0002851561</v>
      </c>
      <c r="I17" s="96">
        <f t="shared" si="0"/>
        <v>86670.352719388742</v>
      </c>
      <c r="J17" s="31">
        <f t="shared" si="0"/>
        <v>7565951.1997858826</v>
      </c>
      <c r="K17" s="96">
        <f t="shared" si="0"/>
        <v>75188.490839782389</v>
      </c>
      <c r="L17" s="31">
        <f t="shared" si="0"/>
        <v>4847967.443336566</v>
      </c>
    </row>
    <row r="19" spans="2:12" x14ac:dyDescent="0.2">
      <c r="B19" s="261" t="s">
        <v>33</v>
      </c>
      <c r="C19" s="260"/>
      <c r="D19" s="260"/>
      <c r="E19" s="260"/>
      <c r="F19" s="260"/>
      <c r="G19" s="260"/>
      <c r="H19" s="260"/>
      <c r="I19" s="260"/>
      <c r="J19" s="260"/>
      <c r="K19" s="260"/>
      <c r="L19" s="260"/>
    </row>
  </sheetData>
  <mergeCells count="7">
    <mergeCell ref="B19:L19"/>
    <mergeCell ref="B3:B4"/>
    <mergeCell ref="C3:D3"/>
    <mergeCell ref="E3:F3"/>
    <mergeCell ref="G3:H3"/>
    <mergeCell ref="I3:J3"/>
    <mergeCell ref="K3:L3"/>
  </mergeCells>
  <pageMargins left="0.78740157480314965" right="0.78740157480314965" top="0.98425196850393704" bottom="0.98425196850393704" header="0.51181102362204722" footer="0.51181102362204722"/>
  <pageSetup paperSize="9" scale="84" orientation="landscape" r:id="rId1"/>
  <headerFooter alignWithMargins="0"/>
  <colBreaks count="1" manualBreakCount="1">
    <brk id="14" max="42"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97E"/>
    <pageSetUpPr fitToPage="1"/>
  </sheetPr>
  <dimension ref="B1:AF18"/>
  <sheetViews>
    <sheetView view="pageBreakPreview" zoomScaleNormal="100" zoomScaleSheetLayoutView="100" zoomScalePageLayoutView="70" workbookViewId="0"/>
  </sheetViews>
  <sheetFormatPr baseColWidth="10" defaultRowHeight="12.75" x14ac:dyDescent="0.2"/>
  <cols>
    <col min="1" max="1" width="2" style="81" customWidth="1"/>
    <col min="2" max="2" width="16.28515625" style="81" customWidth="1"/>
    <col min="3" max="3" width="12.7109375" style="81" customWidth="1"/>
    <col min="4" max="4" width="14.7109375" style="81" customWidth="1"/>
    <col min="5" max="5" width="12.7109375" style="81" customWidth="1"/>
    <col min="6" max="6" width="14.7109375" style="81" customWidth="1"/>
    <col min="7" max="7" width="12.7109375" style="81" customWidth="1"/>
    <col min="8" max="8" width="14.7109375" style="81" customWidth="1"/>
    <col min="9" max="9" width="12.7109375" style="81" customWidth="1"/>
    <col min="10" max="10" width="14.7109375" style="81" customWidth="1"/>
    <col min="11" max="11" width="12.7109375" style="81" customWidth="1"/>
    <col min="12" max="12" width="14.7109375" style="81" customWidth="1"/>
    <col min="13" max="13" width="4.28515625" style="81" customWidth="1"/>
    <col min="14" max="16384" width="11.42578125" style="81"/>
  </cols>
  <sheetData>
    <row r="1" spans="2:32" s="11" customFormat="1" ht="15.75" x14ac:dyDescent="0.2">
      <c r="B1" s="213" t="str">
        <f>Inhaltsverzeichnis!B38&amp;" "&amp;Inhaltsverzeichnis!C38&amp;" "&amp;Inhaltsverzeichnis!E38</f>
        <v>Tabelle  12b: Verteilung der Pflichtigen und des Reinvermögens nach Altersklassen und Stufen des Reinvermögens, 2013</v>
      </c>
      <c r="C1" s="214"/>
      <c r="D1" s="214"/>
      <c r="E1" s="214"/>
      <c r="F1" s="214"/>
      <c r="G1" s="214"/>
      <c r="H1" s="214"/>
      <c r="I1" s="214"/>
      <c r="J1" s="214"/>
      <c r="K1" s="214"/>
      <c r="L1" s="214"/>
      <c r="M1" s="214"/>
      <c r="N1" s="214"/>
      <c r="O1" s="214"/>
      <c r="P1" s="214"/>
      <c r="Q1" s="214"/>
      <c r="R1" s="214"/>
      <c r="S1" s="214"/>
      <c r="T1" s="78"/>
      <c r="U1" s="78"/>
      <c r="V1" s="78"/>
      <c r="W1" s="78"/>
      <c r="X1" s="78"/>
      <c r="Y1" s="78"/>
      <c r="Z1" s="78"/>
      <c r="AA1" s="78"/>
      <c r="AB1" s="78"/>
      <c r="AC1" s="78"/>
      <c r="AD1" s="78"/>
      <c r="AE1" s="78"/>
      <c r="AF1" s="78"/>
    </row>
    <row r="3" spans="2:32" s="45" customFormat="1" x14ac:dyDescent="0.2">
      <c r="B3" s="248" t="s">
        <v>569</v>
      </c>
      <c r="C3" s="285" t="s">
        <v>95</v>
      </c>
      <c r="D3" s="247"/>
      <c r="E3" s="246" t="s">
        <v>96</v>
      </c>
      <c r="F3" s="250"/>
      <c r="G3" s="246" t="s">
        <v>97</v>
      </c>
      <c r="H3" s="247"/>
      <c r="I3" s="246" t="s">
        <v>98</v>
      </c>
      <c r="J3" s="247"/>
      <c r="K3" s="286" t="s">
        <v>99</v>
      </c>
      <c r="L3" s="247"/>
    </row>
    <row r="4" spans="2:32" ht="25.5" x14ac:dyDescent="0.2">
      <c r="B4" s="249"/>
      <c r="C4" s="196" t="s">
        <v>441</v>
      </c>
      <c r="D4" s="205" t="s">
        <v>568</v>
      </c>
      <c r="E4" s="196" t="s">
        <v>441</v>
      </c>
      <c r="F4" s="205" t="s">
        <v>568</v>
      </c>
      <c r="G4" s="196" t="s">
        <v>441</v>
      </c>
      <c r="H4" s="205" t="s">
        <v>568</v>
      </c>
      <c r="I4" s="196" t="s">
        <v>441</v>
      </c>
      <c r="J4" s="205" t="s">
        <v>568</v>
      </c>
      <c r="K4" s="196" t="s">
        <v>441</v>
      </c>
      <c r="L4" s="205" t="s">
        <v>568</v>
      </c>
    </row>
    <row r="5" spans="2:32" x14ac:dyDescent="0.2">
      <c r="B5" s="25">
        <v>0</v>
      </c>
      <c r="C5" s="27">
        <v>3038.6335879948188</v>
      </c>
      <c r="D5" s="33">
        <v>0</v>
      </c>
      <c r="E5" s="27">
        <v>22518.458591486527</v>
      </c>
      <c r="F5" s="33">
        <v>0</v>
      </c>
      <c r="G5" s="27">
        <v>27992.800370846831</v>
      </c>
      <c r="H5" s="33">
        <v>0</v>
      </c>
      <c r="I5" s="27">
        <v>17609.538440204888</v>
      </c>
      <c r="J5" s="33">
        <v>0</v>
      </c>
      <c r="K5" s="27">
        <v>3130.2095454402215</v>
      </c>
      <c r="L5" s="33">
        <v>0</v>
      </c>
    </row>
    <row r="6" spans="2:32" x14ac:dyDescent="0.2">
      <c r="B6" s="25" t="s">
        <v>49</v>
      </c>
      <c r="C6" s="27">
        <v>8777.0281182842773</v>
      </c>
      <c r="D6" s="33">
        <v>62345.023293295177</v>
      </c>
      <c r="E6" s="27">
        <v>41658.460155272747</v>
      </c>
      <c r="F6" s="33">
        <v>366733.39023811981</v>
      </c>
      <c r="G6" s="27">
        <v>18137.469976763077</v>
      </c>
      <c r="H6" s="33">
        <v>169696.96576313334</v>
      </c>
      <c r="I6" s="27">
        <v>12264.346949756247</v>
      </c>
      <c r="J6" s="33">
        <v>111651.29978968356</v>
      </c>
      <c r="K6" s="27">
        <v>6450.1549461796594</v>
      </c>
      <c r="L6" s="33">
        <v>57546.224895413005</v>
      </c>
    </row>
    <row r="7" spans="2:32" x14ac:dyDescent="0.2">
      <c r="B7" s="25" t="s">
        <v>51</v>
      </c>
      <c r="C7" s="27">
        <v>936.5436960907864</v>
      </c>
      <c r="D7" s="33">
        <v>31517.369322524442</v>
      </c>
      <c r="E7" s="27">
        <v>12268.557464358111</v>
      </c>
      <c r="F7" s="33">
        <v>437676.54393270391</v>
      </c>
      <c r="G7" s="27">
        <v>7711.1843412098897</v>
      </c>
      <c r="H7" s="33">
        <v>281796.52347959497</v>
      </c>
      <c r="I7" s="27">
        <v>5784.1845087685888</v>
      </c>
      <c r="J7" s="33">
        <v>213531.8137641364</v>
      </c>
      <c r="K7" s="27">
        <v>3210.153862474197</v>
      </c>
      <c r="L7" s="33">
        <v>119096.37566604417</v>
      </c>
    </row>
    <row r="8" spans="2:32" x14ac:dyDescent="0.2">
      <c r="B8" s="25" t="s">
        <v>52</v>
      </c>
      <c r="C8" s="27">
        <v>234.28960627614362</v>
      </c>
      <c r="D8" s="33">
        <v>15342.776198235575</v>
      </c>
      <c r="E8" s="27">
        <v>9328.8848106015575</v>
      </c>
      <c r="F8" s="33">
        <v>653742.36522612907</v>
      </c>
      <c r="G8" s="27">
        <v>9472.4569526607047</v>
      </c>
      <c r="H8" s="33">
        <v>688877.62054362718</v>
      </c>
      <c r="I8" s="27">
        <v>8627.0134104083172</v>
      </c>
      <c r="J8" s="33">
        <v>634095.33016014495</v>
      </c>
      <c r="K8" s="27">
        <v>5200.2909236349478</v>
      </c>
      <c r="L8" s="33">
        <v>385705.25901825767</v>
      </c>
    </row>
    <row r="9" spans="2:32" x14ac:dyDescent="0.2">
      <c r="B9" s="25" t="s">
        <v>53</v>
      </c>
      <c r="C9" s="27">
        <v>62.054292273738994</v>
      </c>
      <c r="D9" s="33">
        <v>8859.0072314303761</v>
      </c>
      <c r="E9" s="27">
        <v>5699.9919038204307</v>
      </c>
      <c r="F9" s="33">
        <v>855933.964797311</v>
      </c>
      <c r="G9" s="27">
        <v>13382.713860400381</v>
      </c>
      <c r="H9" s="33">
        <v>2166558.7942616204</v>
      </c>
      <c r="I9" s="27">
        <v>14990.561792698356</v>
      </c>
      <c r="J9" s="33">
        <v>2489997.153985044</v>
      </c>
      <c r="K9" s="27">
        <v>12078.169539613189</v>
      </c>
      <c r="L9" s="33">
        <v>2073219.9906584327</v>
      </c>
    </row>
    <row r="10" spans="2:32" x14ac:dyDescent="0.2">
      <c r="B10" s="25" t="s">
        <v>54</v>
      </c>
      <c r="C10" s="27">
        <v>21.297521428834191</v>
      </c>
      <c r="D10" s="33">
        <v>8178.6831901611249</v>
      </c>
      <c r="E10" s="27">
        <v>1265.9038806273743</v>
      </c>
      <c r="F10" s="33">
        <v>423551.78429440182</v>
      </c>
      <c r="G10" s="27">
        <v>7647.2908646560081</v>
      </c>
      <c r="H10" s="33">
        <v>2688323.8166061859</v>
      </c>
      <c r="I10" s="27">
        <v>11929.068448038284</v>
      </c>
      <c r="J10" s="33">
        <v>4273192.714619929</v>
      </c>
      <c r="K10" s="27">
        <v>15284.207671530063</v>
      </c>
      <c r="L10" s="33">
        <v>5628565.0835685646</v>
      </c>
    </row>
    <row r="11" spans="2:32" x14ac:dyDescent="0.2">
      <c r="B11" s="25" t="s">
        <v>55</v>
      </c>
      <c r="C11" s="27">
        <v>5.4684782608695652</v>
      </c>
      <c r="D11" s="33">
        <v>3366.9880923913042</v>
      </c>
      <c r="E11" s="27">
        <v>262.04775495380727</v>
      </c>
      <c r="F11" s="33">
        <v>157770.67637804634</v>
      </c>
      <c r="G11" s="27">
        <v>2751.3972888384378</v>
      </c>
      <c r="H11" s="33">
        <v>1668940.1694060988</v>
      </c>
      <c r="I11" s="27">
        <v>5972.9653692243319</v>
      </c>
      <c r="J11" s="33">
        <v>3651677.5293770051</v>
      </c>
      <c r="K11" s="27">
        <v>10447.997255339691</v>
      </c>
      <c r="L11" s="33">
        <v>6430519.707354472</v>
      </c>
    </row>
    <row r="12" spans="2:32" x14ac:dyDescent="0.2">
      <c r="B12" s="25" t="s">
        <v>56</v>
      </c>
      <c r="C12" s="27">
        <v>0</v>
      </c>
      <c r="D12" s="33"/>
      <c r="E12" s="27">
        <v>99.779483308850729</v>
      </c>
      <c r="F12" s="33">
        <v>85312.865905749655</v>
      </c>
      <c r="G12" s="27">
        <v>1196.1175950113832</v>
      </c>
      <c r="H12" s="33">
        <v>1029890.4570404106</v>
      </c>
      <c r="I12" s="27">
        <v>3083.1445360870703</v>
      </c>
      <c r="J12" s="33">
        <v>2659917.812060067</v>
      </c>
      <c r="K12" s="27">
        <v>6314.3643925006763</v>
      </c>
      <c r="L12" s="33">
        <v>5454831.9270447744</v>
      </c>
    </row>
    <row r="13" spans="2:32" x14ac:dyDescent="0.2">
      <c r="B13" s="25" t="s">
        <v>57</v>
      </c>
      <c r="C13" s="27">
        <v>4.8321678321678325</v>
      </c>
      <c r="D13" s="33">
        <v>7687.2807995338007</v>
      </c>
      <c r="E13" s="27">
        <v>200.58367195669803</v>
      </c>
      <c r="F13" s="33">
        <v>371781.34048250812</v>
      </c>
      <c r="G13" s="27">
        <v>1864.32924089222</v>
      </c>
      <c r="H13" s="33">
        <v>3198370.7337750047</v>
      </c>
      <c r="I13" s="27">
        <v>5897.3490274977057</v>
      </c>
      <c r="J13" s="33">
        <v>10637265.898958482</v>
      </c>
      <c r="K13" s="27">
        <v>12297.709507512083</v>
      </c>
      <c r="L13" s="33">
        <v>22127647.748321217</v>
      </c>
    </row>
    <row r="14" spans="2:32" x14ac:dyDescent="0.2">
      <c r="B14" s="25" t="s">
        <v>58</v>
      </c>
      <c r="C14" s="27">
        <v>0</v>
      </c>
      <c r="D14" s="33"/>
      <c r="E14" s="27">
        <v>12.315384615384616</v>
      </c>
      <c r="F14" s="33">
        <v>92257.639920512825</v>
      </c>
      <c r="G14" s="27">
        <v>117.63176398533378</v>
      </c>
      <c r="H14" s="33">
        <v>800960.93218177755</v>
      </c>
      <c r="I14" s="27">
        <v>336.16225759730816</v>
      </c>
      <c r="J14" s="33">
        <v>2271915.2322939616</v>
      </c>
      <c r="K14" s="27">
        <v>530.33772230566331</v>
      </c>
      <c r="L14" s="33">
        <v>3559727.9173703133</v>
      </c>
    </row>
    <row r="15" spans="2:32" x14ac:dyDescent="0.2">
      <c r="B15" s="26" t="s">
        <v>50</v>
      </c>
      <c r="C15" s="27">
        <v>0</v>
      </c>
      <c r="D15" s="33"/>
      <c r="E15" s="27">
        <v>8.8333333333333321</v>
      </c>
      <c r="F15" s="33">
        <v>231669.24841666664</v>
      </c>
      <c r="G15" s="27">
        <v>56.878020537429109</v>
      </c>
      <c r="H15" s="33">
        <v>1580903.5474640108</v>
      </c>
      <c r="I15" s="27">
        <v>176.01797910048188</v>
      </c>
      <c r="J15" s="33">
        <v>3540618.6556780776</v>
      </c>
      <c r="K15" s="27">
        <v>244.89547324745087</v>
      </c>
      <c r="L15" s="33">
        <v>8121330.8259845302</v>
      </c>
    </row>
    <row r="16" spans="2:32" x14ac:dyDescent="0.2">
      <c r="B16" s="10" t="s">
        <v>0</v>
      </c>
      <c r="C16" s="96">
        <f t="shared" ref="C16:L16" si="0">SUM(C5:C15)</f>
        <v>13080.147468441635</v>
      </c>
      <c r="D16" s="31">
        <f t="shared" si="0"/>
        <v>137297.12812757181</v>
      </c>
      <c r="E16" s="96">
        <f t="shared" si="0"/>
        <v>93323.816434334818</v>
      </c>
      <c r="F16" s="31">
        <f t="shared" si="0"/>
        <v>3676429.819592149</v>
      </c>
      <c r="G16" s="96">
        <f t="shared" si="0"/>
        <v>90330.270275801697</v>
      </c>
      <c r="H16" s="31">
        <f t="shared" si="0"/>
        <v>14274319.560521465</v>
      </c>
      <c r="I16" s="96">
        <f t="shared" si="0"/>
        <v>86670.352719381568</v>
      </c>
      <c r="J16" s="31">
        <f t="shared" si="0"/>
        <v>30483863.440686531</v>
      </c>
      <c r="K16" s="96">
        <f t="shared" si="0"/>
        <v>75188.490839777849</v>
      </c>
      <c r="L16" s="31">
        <f t="shared" si="0"/>
        <v>53958191.059882015</v>
      </c>
    </row>
    <row r="18" spans="2:12" x14ac:dyDescent="0.2">
      <c r="B18" s="261" t="s">
        <v>33</v>
      </c>
      <c r="C18" s="260"/>
      <c r="D18" s="260"/>
      <c r="E18" s="260"/>
      <c r="F18" s="260"/>
      <c r="G18" s="260"/>
      <c r="H18" s="260"/>
      <c r="I18" s="260"/>
      <c r="J18" s="260"/>
      <c r="K18" s="260"/>
      <c r="L18" s="260"/>
    </row>
  </sheetData>
  <mergeCells count="7">
    <mergeCell ref="B18:L18"/>
    <mergeCell ref="B3:B4"/>
    <mergeCell ref="C3:D3"/>
    <mergeCell ref="E3:F3"/>
    <mergeCell ref="G3:H3"/>
    <mergeCell ref="I3:J3"/>
    <mergeCell ref="K3:L3"/>
  </mergeCells>
  <pageMargins left="0.78740157480314965" right="0.78740157480314965" top="0.98425196850393704" bottom="0.98425196850393704" header="0.51181102362204722" footer="0.51181102362204722"/>
  <pageSetup paperSize="9" scale="84" orientation="landscape" r:id="rId1"/>
  <headerFooter alignWithMargins="0"/>
  <colBreaks count="1" manualBreakCount="1">
    <brk id="14" max="42"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97E"/>
    <pageSetUpPr fitToPage="1"/>
  </sheetPr>
  <dimension ref="B1:AF21"/>
  <sheetViews>
    <sheetView view="pageBreakPreview" zoomScaleNormal="100" zoomScaleSheetLayoutView="100" zoomScalePageLayoutView="70" workbookViewId="0"/>
  </sheetViews>
  <sheetFormatPr baseColWidth="10" defaultRowHeight="12.75" x14ac:dyDescent="0.2"/>
  <cols>
    <col min="1" max="1" width="2" style="81" customWidth="1"/>
    <col min="2" max="2" width="16.28515625" style="81" customWidth="1"/>
    <col min="3" max="3" width="12.7109375" style="81" customWidth="1"/>
    <col min="4" max="4" width="14.7109375" style="81" customWidth="1"/>
    <col min="5" max="5" width="12.7109375" style="81" customWidth="1"/>
    <col min="6" max="6" width="14.7109375" style="81" customWidth="1"/>
    <col min="7" max="7" width="12.7109375" style="81" customWidth="1"/>
    <col min="8" max="8" width="14.7109375" style="81" customWidth="1"/>
    <col min="9" max="9" width="12.7109375" style="81" customWidth="1"/>
    <col min="10" max="10" width="14.7109375" style="81" customWidth="1"/>
    <col min="11" max="11" width="12.7109375" style="81" customWidth="1"/>
    <col min="12" max="12" width="14.7109375" style="81" customWidth="1"/>
    <col min="13" max="13" width="4.140625" style="81" customWidth="1"/>
    <col min="14" max="16384" width="11.42578125" style="81"/>
  </cols>
  <sheetData>
    <row r="1" spans="2:32" s="11" customFormat="1" ht="15.75" x14ac:dyDescent="0.2">
      <c r="B1" s="213" t="str">
        <f>Inhaltsverzeichnis!B39&amp;" "&amp;Inhaltsverzeichnis!C39&amp;" "&amp;Inhaltsverzeichnis!E39</f>
        <v>Tabelle  13a: Verteilung der Pflichtigen und des Reineinkommens nach Erwerbsart und Stufen des Reineinkommens, 2013</v>
      </c>
      <c r="C1" s="214"/>
      <c r="D1" s="214"/>
      <c r="E1" s="214"/>
      <c r="F1" s="214"/>
      <c r="G1" s="214"/>
      <c r="H1" s="214"/>
      <c r="I1" s="214"/>
      <c r="J1" s="214"/>
      <c r="K1" s="214"/>
      <c r="L1" s="214"/>
      <c r="M1" s="214"/>
      <c r="N1" s="214"/>
      <c r="O1" s="214"/>
      <c r="P1" s="214"/>
      <c r="Q1" s="214"/>
      <c r="R1" s="214"/>
      <c r="S1" s="214"/>
      <c r="T1" s="78"/>
      <c r="U1" s="78"/>
      <c r="V1" s="78"/>
      <c r="W1" s="78"/>
      <c r="X1" s="78"/>
      <c r="Y1" s="78"/>
      <c r="Z1" s="78"/>
      <c r="AA1" s="78"/>
      <c r="AB1" s="78"/>
      <c r="AC1" s="78"/>
      <c r="AD1" s="78"/>
      <c r="AE1" s="78"/>
      <c r="AF1" s="78"/>
    </row>
    <row r="3" spans="2:32" s="45" customFormat="1" ht="27" customHeight="1" x14ac:dyDescent="0.2">
      <c r="B3" s="248" t="s">
        <v>570</v>
      </c>
      <c r="C3" s="287" t="s">
        <v>111</v>
      </c>
      <c r="D3" s="287"/>
      <c r="E3" s="287" t="s">
        <v>112</v>
      </c>
      <c r="F3" s="287"/>
      <c r="G3" s="288" t="s">
        <v>582</v>
      </c>
      <c r="H3" s="289"/>
      <c r="I3" s="288" t="s">
        <v>611</v>
      </c>
      <c r="J3" s="289"/>
      <c r="K3" s="271" t="s">
        <v>12</v>
      </c>
      <c r="L3" s="271"/>
    </row>
    <row r="4" spans="2:32" ht="25.5" x14ac:dyDescent="0.2">
      <c r="B4" s="249"/>
      <c r="C4" s="196" t="s">
        <v>441</v>
      </c>
      <c r="D4" s="203" t="s">
        <v>567</v>
      </c>
      <c r="E4" s="196" t="s">
        <v>441</v>
      </c>
      <c r="F4" s="203" t="s">
        <v>567</v>
      </c>
      <c r="G4" s="196" t="s">
        <v>441</v>
      </c>
      <c r="H4" s="203" t="s">
        <v>567</v>
      </c>
      <c r="I4" s="196" t="s">
        <v>441</v>
      </c>
      <c r="J4" s="203" t="s">
        <v>567</v>
      </c>
      <c r="K4" s="196" t="s">
        <v>441</v>
      </c>
      <c r="L4" s="203" t="s">
        <v>567</v>
      </c>
    </row>
    <row r="5" spans="2:32" x14ac:dyDescent="0.2">
      <c r="B5" s="25">
        <v>0</v>
      </c>
      <c r="C5" s="27">
        <v>160.79853037828096</v>
      </c>
      <c r="D5" s="33">
        <v>0</v>
      </c>
      <c r="E5" s="27">
        <v>4540.1896517834193</v>
      </c>
      <c r="F5" s="33">
        <v>0</v>
      </c>
      <c r="G5" s="27">
        <v>3551.8588493697489</v>
      </c>
      <c r="H5" s="33">
        <v>0</v>
      </c>
      <c r="I5" s="27">
        <v>237.45371396051328</v>
      </c>
      <c r="J5" s="33">
        <v>0</v>
      </c>
      <c r="K5" s="27">
        <v>6714.9215771883219</v>
      </c>
      <c r="L5" s="33">
        <v>0</v>
      </c>
    </row>
    <row r="6" spans="2:32" x14ac:dyDescent="0.2">
      <c r="B6" s="25" t="s">
        <v>38</v>
      </c>
      <c r="C6" s="27">
        <v>384.79894704333975</v>
      </c>
      <c r="D6" s="33">
        <v>2067.319358480494</v>
      </c>
      <c r="E6" s="27">
        <v>16121.446776854069</v>
      </c>
      <c r="F6" s="33">
        <v>77767.003311081367</v>
      </c>
      <c r="G6" s="27">
        <v>2862.842196925943</v>
      </c>
      <c r="H6" s="33">
        <v>15954.829394013566</v>
      </c>
      <c r="I6" s="27">
        <v>449.56852963070867</v>
      </c>
      <c r="J6" s="33">
        <v>2564.7649525934808</v>
      </c>
      <c r="K6" s="27">
        <v>626.68145275380346</v>
      </c>
      <c r="L6" s="33">
        <v>2755.2872173324331</v>
      </c>
    </row>
    <row r="7" spans="2:32" x14ac:dyDescent="0.2">
      <c r="B7" s="25" t="s">
        <v>39</v>
      </c>
      <c r="C7" s="27">
        <v>652.00948856833611</v>
      </c>
      <c r="D7" s="33">
        <v>10061.881715686948</v>
      </c>
      <c r="E7" s="27">
        <v>9922.9760737659162</v>
      </c>
      <c r="F7" s="33">
        <v>148943.01037354433</v>
      </c>
      <c r="G7" s="27">
        <v>6580.1561823763786</v>
      </c>
      <c r="H7" s="33">
        <v>103735.13586717553</v>
      </c>
      <c r="I7" s="27">
        <v>940.00440989431934</v>
      </c>
      <c r="J7" s="33">
        <v>14786.520157305353</v>
      </c>
      <c r="K7" s="27">
        <v>365.94108508999312</v>
      </c>
      <c r="L7" s="33">
        <v>5204.7987909592566</v>
      </c>
    </row>
    <row r="8" spans="2:32" x14ac:dyDescent="0.2">
      <c r="B8" s="25" t="s">
        <v>40</v>
      </c>
      <c r="C8" s="27">
        <v>1054.5354391982053</v>
      </c>
      <c r="D8" s="33">
        <v>26686.055184843695</v>
      </c>
      <c r="E8" s="27">
        <v>12736.827216102685</v>
      </c>
      <c r="F8" s="33">
        <v>321420.04060889094</v>
      </c>
      <c r="G8" s="27">
        <v>11402.024170240677</v>
      </c>
      <c r="H8" s="33">
        <v>286951.6654326102</v>
      </c>
      <c r="I8" s="27">
        <v>1330.4807361896333</v>
      </c>
      <c r="J8" s="33">
        <v>33325.056815246295</v>
      </c>
      <c r="K8" s="27">
        <v>260.22599022462379</v>
      </c>
      <c r="L8" s="33">
        <v>6430.2576875649665</v>
      </c>
    </row>
    <row r="9" spans="2:32" x14ac:dyDescent="0.2">
      <c r="B9" s="25" t="s">
        <v>41</v>
      </c>
      <c r="C9" s="27">
        <v>2604.886516674921</v>
      </c>
      <c r="D9" s="33">
        <v>104503.80273317422</v>
      </c>
      <c r="E9" s="27">
        <v>49962.512016056797</v>
      </c>
      <c r="F9" s="33">
        <v>2054145.3503146432</v>
      </c>
      <c r="G9" s="27">
        <v>23344.288847661755</v>
      </c>
      <c r="H9" s="33">
        <v>931676.91062367836</v>
      </c>
      <c r="I9" s="27">
        <v>2724.1082015191723</v>
      </c>
      <c r="J9" s="33">
        <v>108555.03533115155</v>
      </c>
      <c r="K9" s="27">
        <v>479.73164671020822</v>
      </c>
      <c r="L9" s="33">
        <v>19019.506088067017</v>
      </c>
    </row>
    <row r="10" spans="2:32" x14ac:dyDescent="0.2">
      <c r="B10" s="25" t="s">
        <v>42</v>
      </c>
      <c r="C10" s="27">
        <v>3064.7777406334671</v>
      </c>
      <c r="D10" s="33">
        <v>190130.49199407391</v>
      </c>
      <c r="E10" s="27">
        <v>59819.744833614095</v>
      </c>
      <c r="F10" s="33">
        <v>3680069.1248746589</v>
      </c>
      <c r="G10" s="27">
        <v>19869.890865437599</v>
      </c>
      <c r="H10" s="33">
        <v>1223726.5683212203</v>
      </c>
      <c r="I10" s="27">
        <v>2682.5658680175129</v>
      </c>
      <c r="J10" s="33">
        <v>165308.93240111592</v>
      </c>
      <c r="K10" s="27">
        <v>310.40679281693536</v>
      </c>
      <c r="L10" s="33">
        <v>18902.47244147797</v>
      </c>
    </row>
    <row r="11" spans="2:32" x14ac:dyDescent="0.2">
      <c r="B11" s="25" t="s">
        <v>43</v>
      </c>
      <c r="C11" s="27">
        <v>2200.7306910751813</v>
      </c>
      <c r="D11" s="33">
        <v>190349.10868048543</v>
      </c>
      <c r="E11" s="27">
        <v>38099.647207099166</v>
      </c>
      <c r="F11" s="33">
        <v>3296752.2490872308</v>
      </c>
      <c r="G11" s="27">
        <v>9924.2478889478571</v>
      </c>
      <c r="H11" s="33">
        <v>850520.58839480637</v>
      </c>
      <c r="I11" s="27">
        <v>1438.7279450770832</v>
      </c>
      <c r="J11" s="33">
        <v>124156.88219813658</v>
      </c>
      <c r="K11" s="27">
        <v>160.75173894342828</v>
      </c>
      <c r="L11" s="33">
        <v>13858.71185027395</v>
      </c>
    </row>
    <row r="12" spans="2:32" x14ac:dyDescent="0.2">
      <c r="B12" s="25" t="s">
        <v>44</v>
      </c>
      <c r="C12" s="27">
        <v>2283.5396367609351</v>
      </c>
      <c r="D12" s="33">
        <v>275352.37939391355</v>
      </c>
      <c r="E12" s="27">
        <v>31896.35158530132</v>
      </c>
      <c r="F12" s="33">
        <v>3806090.1518528173</v>
      </c>
      <c r="G12" s="27">
        <v>5626.9190327819906</v>
      </c>
      <c r="H12" s="33">
        <v>662325.17447074642</v>
      </c>
      <c r="I12" s="27">
        <v>1038.8772818050338</v>
      </c>
      <c r="J12" s="33">
        <v>123808.90483950591</v>
      </c>
      <c r="K12" s="27">
        <v>120.76563922470258</v>
      </c>
      <c r="L12" s="33">
        <v>14450.079121718372</v>
      </c>
    </row>
    <row r="13" spans="2:32" x14ac:dyDescent="0.2">
      <c r="B13" s="25" t="s">
        <v>45</v>
      </c>
      <c r="C13" s="27">
        <v>1411.9604238056565</v>
      </c>
      <c r="D13" s="33">
        <v>267676.73781713011</v>
      </c>
      <c r="E13" s="27">
        <v>11749.566712432428</v>
      </c>
      <c r="F13" s="33">
        <v>2150705.9594387263</v>
      </c>
      <c r="G13" s="27">
        <v>1415.9861520659704</v>
      </c>
      <c r="H13" s="33">
        <v>257590.72433058702</v>
      </c>
      <c r="I13" s="27">
        <v>427.16521127608411</v>
      </c>
      <c r="J13" s="33">
        <v>78580.443152927211</v>
      </c>
      <c r="K13" s="27">
        <v>43.140411169897284</v>
      </c>
      <c r="L13" s="33">
        <v>8286.1260640495675</v>
      </c>
    </row>
    <row r="14" spans="2:32" x14ac:dyDescent="0.2">
      <c r="B14" s="25" t="s">
        <v>46</v>
      </c>
      <c r="C14" s="27">
        <v>654.58373229622634</v>
      </c>
      <c r="D14" s="33">
        <v>219262.4340081015</v>
      </c>
      <c r="E14" s="27">
        <v>2947.6970962167684</v>
      </c>
      <c r="F14" s="33">
        <v>957783.72989949177</v>
      </c>
      <c r="G14" s="27">
        <v>243.0318015008813</v>
      </c>
      <c r="H14" s="33">
        <v>77601.936362860695</v>
      </c>
      <c r="I14" s="27">
        <v>123.00830628101787</v>
      </c>
      <c r="J14" s="33">
        <v>39560.023107169727</v>
      </c>
      <c r="K14" s="27">
        <v>28.608781467685393</v>
      </c>
      <c r="L14" s="33">
        <v>8718.6111895186896</v>
      </c>
    </row>
    <row r="15" spans="2:32" x14ac:dyDescent="0.2">
      <c r="B15" s="25" t="s">
        <v>47</v>
      </c>
      <c r="C15" s="27">
        <v>135.04174095601388</v>
      </c>
      <c r="D15" s="33">
        <v>87720.309252516774</v>
      </c>
      <c r="E15" s="27">
        <v>554.57303923921711</v>
      </c>
      <c r="F15" s="33">
        <v>357555.96050630731</v>
      </c>
      <c r="G15" s="27">
        <v>57.980663189630569</v>
      </c>
      <c r="H15" s="33">
        <v>37801.971080375115</v>
      </c>
      <c r="I15" s="27">
        <v>16.730992594628958</v>
      </c>
      <c r="J15" s="33">
        <v>11748.230997137316</v>
      </c>
      <c r="K15" s="27">
        <v>7.888302349171914</v>
      </c>
      <c r="L15" s="33">
        <v>5292.7224293249765</v>
      </c>
    </row>
    <row r="16" spans="2:32" x14ac:dyDescent="0.2">
      <c r="B16" s="101" t="s">
        <v>48</v>
      </c>
      <c r="C16" s="27">
        <v>28.964900984726238</v>
      </c>
      <c r="D16" s="33">
        <v>59947.751899989758</v>
      </c>
      <c r="E16" s="27">
        <v>170.53293037443714</v>
      </c>
      <c r="F16" s="33">
        <v>424255.78339659504</v>
      </c>
      <c r="G16" s="27">
        <v>14.749280272007542</v>
      </c>
      <c r="H16" s="33">
        <v>69546.167480331569</v>
      </c>
      <c r="I16" s="27">
        <v>9.357230402684948</v>
      </c>
      <c r="J16" s="33">
        <v>14392.186014475696</v>
      </c>
      <c r="K16" s="27">
        <v>3.2970351622525533</v>
      </c>
      <c r="L16" s="33">
        <v>5513.6741386875165</v>
      </c>
    </row>
    <row r="17" spans="2:12" x14ac:dyDescent="0.2">
      <c r="B17" s="10" t="s">
        <v>0</v>
      </c>
      <c r="C17" s="96">
        <f>SUM(C5:C16)</f>
        <v>14636.627788375292</v>
      </c>
      <c r="D17" s="31">
        <f t="shared" ref="D17:L17" si="0">SUM(D5:D16)</f>
        <v>1433758.2720383964</v>
      </c>
      <c r="E17" s="96">
        <f t="shared" si="0"/>
        <v>238522.06513884026</v>
      </c>
      <c r="F17" s="31">
        <f t="shared" si="0"/>
        <v>17275488.36366399</v>
      </c>
      <c r="G17" s="96">
        <f t="shared" si="0"/>
        <v>84893.975930770452</v>
      </c>
      <c r="H17" s="31">
        <f t="shared" si="0"/>
        <v>4517431.6717584049</v>
      </c>
      <c r="I17" s="96">
        <f t="shared" si="0"/>
        <v>11418.048426648395</v>
      </c>
      <c r="J17" s="31">
        <f t="shared" si="0"/>
        <v>716786.97996676492</v>
      </c>
      <c r="K17" s="96">
        <f t="shared" si="0"/>
        <v>9122.360453101026</v>
      </c>
      <c r="L17" s="31">
        <f t="shared" si="0"/>
        <v>108432.24701897471</v>
      </c>
    </row>
    <row r="19" spans="2:12" s="195" customFormat="1" x14ac:dyDescent="0.2">
      <c r="B19" s="261" t="s">
        <v>33</v>
      </c>
      <c r="C19" s="260"/>
      <c r="D19" s="260"/>
      <c r="E19" s="260"/>
      <c r="F19" s="260"/>
      <c r="G19" s="260"/>
      <c r="H19" s="260"/>
      <c r="I19" s="260"/>
      <c r="J19" s="260"/>
      <c r="K19" s="260"/>
      <c r="L19" s="260"/>
    </row>
    <row r="20" spans="2:12" ht="27.75" customHeight="1" x14ac:dyDescent="0.2">
      <c r="B20" s="258" t="s">
        <v>580</v>
      </c>
      <c r="C20" s="258"/>
      <c r="D20" s="258"/>
      <c r="E20" s="258"/>
      <c r="F20" s="258"/>
      <c r="G20" s="258"/>
      <c r="H20" s="258"/>
      <c r="I20" s="258"/>
      <c r="J20" s="258"/>
      <c r="K20" s="258"/>
      <c r="L20" s="258"/>
    </row>
    <row r="21" spans="2:12" ht="26.25" customHeight="1" x14ac:dyDescent="0.2">
      <c r="B21" s="258" t="s">
        <v>581</v>
      </c>
      <c r="C21" s="258"/>
      <c r="D21" s="258"/>
      <c r="E21" s="258"/>
      <c r="F21" s="258"/>
      <c r="G21" s="258"/>
      <c r="H21" s="258"/>
      <c r="I21" s="258"/>
      <c r="J21" s="258"/>
      <c r="K21" s="258"/>
      <c r="L21" s="258"/>
    </row>
  </sheetData>
  <mergeCells count="9">
    <mergeCell ref="B20:L20"/>
    <mergeCell ref="B21:L21"/>
    <mergeCell ref="B3:B4"/>
    <mergeCell ref="C3:D3"/>
    <mergeCell ref="E3:F3"/>
    <mergeCell ref="G3:H3"/>
    <mergeCell ref="I3:J3"/>
    <mergeCell ref="K3:L3"/>
    <mergeCell ref="B19:L19"/>
  </mergeCells>
  <pageMargins left="0.78740157480314965" right="0.78740157480314965" top="0.98425196850393704" bottom="0.98425196850393704" header="0.51181102362204722" footer="0.51181102362204722"/>
  <pageSetup paperSize="9" scale="84" orientation="landscape" r:id="rId1"/>
  <headerFooter alignWithMargins="0"/>
  <colBreaks count="1" manualBreakCount="1">
    <brk id="14" max="42"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97E"/>
    <pageSetUpPr fitToPage="1"/>
  </sheetPr>
  <dimension ref="B1:AF20"/>
  <sheetViews>
    <sheetView view="pageBreakPreview" zoomScaleNormal="100" zoomScaleSheetLayoutView="100" zoomScalePageLayoutView="70" workbookViewId="0"/>
  </sheetViews>
  <sheetFormatPr baseColWidth="10" defaultRowHeight="12.75" x14ac:dyDescent="0.2"/>
  <cols>
    <col min="1" max="1" width="2" style="81" customWidth="1"/>
    <col min="2" max="2" width="16.28515625" style="81" customWidth="1"/>
    <col min="3" max="3" width="12.7109375" style="81" customWidth="1"/>
    <col min="4" max="4" width="14.7109375" style="81" customWidth="1"/>
    <col min="5" max="5" width="12.7109375" style="81" customWidth="1"/>
    <col min="6" max="6" width="14.7109375" style="81" customWidth="1"/>
    <col min="7" max="7" width="12.7109375" style="81" customWidth="1"/>
    <col min="8" max="8" width="14.7109375" style="81" customWidth="1"/>
    <col min="9" max="9" width="12.7109375" style="81" customWidth="1"/>
    <col min="10" max="10" width="14.7109375" style="81" customWidth="1"/>
    <col min="11" max="11" width="12.7109375" style="81" customWidth="1"/>
    <col min="12" max="12" width="14.7109375" style="81" customWidth="1"/>
    <col min="13" max="16384" width="11.42578125" style="81"/>
  </cols>
  <sheetData>
    <row r="1" spans="2:32" s="11" customFormat="1" ht="15.75" x14ac:dyDescent="0.2">
      <c r="B1" s="213" t="str">
        <f>Inhaltsverzeichnis!B40&amp;" "&amp;Inhaltsverzeichnis!C40&amp;" "&amp;Inhaltsverzeichnis!E40</f>
        <v>Tabelle  13b: Verteilung der Pflichtigen und des Reinvermögens nach Erwerbsart und Stufen des Reinvermögens, 2013</v>
      </c>
      <c r="C1" s="214"/>
      <c r="D1" s="214"/>
      <c r="E1" s="214"/>
      <c r="F1" s="214"/>
      <c r="G1" s="214"/>
      <c r="H1" s="214"/>
      <c r="I1" s="214"/>
      <c r="J1" s="214"/>
      <c r="K1" s="214"/>
      <c r="L1" s="214"/>
      <c r="M1" s="214"/>
      <c r="N1" s="214"/>
      <c r="O1" s="214"/>
      <c r="P1" s="214"/>
      <c r="Q1" s="214"/>
      <c r="R1" s="214"/>
      <c r="S1" s="214"/>
      <c r="T1" s="78"/>
      <c r="U1" s="78"/>
      <c r="V1" s="78"/>
      <c r="W1" s="78"/>
      <c r="X1" s="78"/>
      <c r="Y1" s="78"/>
      <c r="Z1" s="78"/>
      <c r="AA1" s="78"/>
      <c r="AB1" s="78"/>
      <c r="AC1" s="78"/>
      <c r="AD1" s="78"/>
      <c r="AE1" s="78"/>
      <c r="AF1" s="78"/>
    </row>
    <row r="3" spans="2:32" s="45" customFormat="1" ht="27" customHeight="1" x14ac:dyDescent="0.2">
      <c r="B3" s="248" t="s">
        <v>569</v>
      </c>
      <c r="C3" s="287" t="s">
        <v>111</v>
      </c>
      <c r="D3" s="287"/>
      <c r="E3" s="287" t="s">
        <v>112</v>
      </c>
      <c r="F3" s="287"/>
      <c r="G3" s="288" t="s">
        <v>582</v>
      </c>
      <c r="H3" s="289"/>
      <c r="I3" s="288" t="s">
        <v>583</v>
      </c>
      <c r="J3" s="289"/>
      <c r="K3" s="271" t="s">
        <v>12</v>
      </c>
      <c r="L3" s="271"/>
    </row>
    <row r="4" spans="2:32" ht="25.5" x14ac:dyDescent="0.2">
      <c r="B4" s="249"/>
      <c r="C4" s="196" t="s">
        <v>441</v>
      </c>
      <c r="D4" s="205" t="s">
        <v>568</v>
      </c>
      <c r="E4" s="196" t="s">
        <v>441</v>
      </c>
      <c r="F4" s="205" t="s">
        <v>568</v>
      </c>
      <c r="G4" s="196" t="s">
        <v>441</v>
      </c>
      <c r="H4" s="205" t="s">
        <v>568</v>
      </c>
      <c r="I4" s="196" t="s">
        <v>441</v>
      </c>
      <c r="J4" s="205" t="s">
        <v>568</v>
      </c>
      <c r="K4" s="196" t="s">
        <v>441</v>
      </c>
      <c r="L4" s="205" t="s">
        <v>568</v>
      </c>
    </row>
    <row r="5" spans="2:32" x14ac:dyDescent="0.2">
      <c r="B5" s="25">
        <v>0</v>
      </c>
      <c r="C5" s="27">
        <v>3041.1744215302938</v>
      </c>
      <c r="D5" s="33">
        <v>0</v>
      </c>
      <c r="E5" s="27">
        <v>58924.97269286064</v>
      </c>
      <c r="F5" s="33">
        <v>0</v>
      </c>
      <c r="G5" s="27">
        <v>6862.1089141824004</v>
      </c>
      <c r="H5" s="33">
        <v>0</v>
      </c>
      <c r="I5" s="27">
        <v>1617.0323394388793</v>
      </c>
      <c r="J5" s="33">
        <v>0</v>
      </c>
      <c r="K5" s="27">
        <v>3844.3521679773544</v>
      </c>
      <c r="L5" s="33">
        <v>0</v>
      </c>
    </row>
    <row r="6" spans="2:32" x14ac:dyDescent="0.2">
      <c r="B6" s="25" t="s">
        <v>49</v>
      </c>
      <c r="C6" s="27">
        <v>1751.5176453236061</v>
      </c>
      <c r="D6" s="33">
        <v>17537.376499338698</v>
      </c>
      <c r="E6" s="27">
        <v>67978.589999818039</v>
      </c>
      <c r="F6" s="33">
        <v>613653.87366944016</v>
      </c>
      <c r="G6" s="27">
        <v>12087.444157333592</v>
      </c>
      <c r="H6" s="33">
        <v>97460.68404723698</v>
      </c>
      <c r="I6" s="27">
        <v>2296.9935593821378</v>
      </c>
      <c r="J6" s="33">
        <v>19207.918832162122</v>
      </c>
      <c r="K6" s="27">
        <v>3172.9147844099452</v>
      </c>
      <c r="L6" s="33">
        <v>20113.050931558304</v>
      </c>
    </row>
    <row r="7" spans="2:32" x14ac:dyDescent="0.2">
      <c r="B7" s="25" t="s">
        <v>51</v>
      </c>
      <c r="C7" s="27">
        <v>920.66750783426619</v>
      </c>
      <c r="D7" s="33">
        <v>33748.859781316074</v>
      </c>
      <c r="E7" s="27">
        <v>23158.838711564636</v>
      </c>
      <c r="F7" s="33">
        <v>837316.34246647765</v>
      </c>
      <c r="G7" s="27">
        <v>4452.422226296896</v>
      </c>
      <c r="H7" s="33">
        <v>163125.245861184</v>
      </c>
      <c r="I7" s="27">
        <v>800.51792580939036</v>
      </c>
      <c r="J7" s="33">
        <v>29165.926014593035</v>
      </c>
      <c r="K7" s="27">
        <v>578.17750139451459</v>
      </c>
      <c r="L7" s="33">
        <v>20262.252041364805</v>
      </c>
    </row>
    <row r="8" spans="2:32" x14ac:dyDescent="0.2">
      <c r="B8" s="25" t="s">
        <v>52</v>
      </c>
      <c r="C8" s="27">
        <v>1222.0193301607894</v>
      </c>
      <c r="D8" s="33">
        <v>89489.477370997964</v>
      </c>
      <c r="E8" s="27">
        <v>24004.046192355865</v>
      </c>
      <c r="F8" s="33">
        <v>1727863.446296802</v>
      </c>
      <c r="G8" s="27">
        <v>6293.9154200331459</v>
      </c>
      <c r="H8" s="33">
        <v>463152.19368921191</v>
      </c>
      <c r="I8" s="27">
        <v>939.15912494718191</v>
      </c>
      <c r="J8" s="33">
        <v>68596.516602410964</v>
      </c>
      <c r="K8" s="27">
        <v>403.79563608230541</v>
      </c>
      <c r="L8" s="33">
        <v>28661.717186788661</v>
      </c>
    </row>
    <row r="9" spans="2:32" x14ac:dyDescent="0.2">
      <c r="B9" s="25" t="s">
        <v>53</v>
      </c>
      <c r="C9" s="27">
        <v>2185.1363444053504</v>
      </c>
      <c r="D9" s="33">
        <v>364142.7643175401</v>
      </c>
      <c r="E9" s="27">
        <v>29282.910256479627</v>
      </c>
      <c r="F9" s="33">
        <v>4726935.8236698993</v>
      </c>
      <c r="G9" s="27">
        <v>12830.70341370325</v>
      </c>
      <c r="H9" s="33">
        <v>2185021.0658111279</v>
      </c>
      <c r="I9" s="27">
        <v>1512.6523459042182</v>
      </c>
      <c r="J9" s="33">
        <v>253966.7633985366</v>
      </c>
      <c r="K9" s="27">
        <v>402.08902831456101</v>
      </c>
      <c r="L9" s="33">
        <v>64502.493736886514</v>
      </c>
    </row>
    <row r="10" spans="2:32" x14ac:dyDescent="0.2">
      <c r="B10" s="25" t="s">
        <v>54</v>
      </c>
      <c r="C10" s="27">
        <v>2012.7336850691593</v>
      </c>
      <c r="D10" s="33">
        <v>731664.8917046868</v>
      </c>
      <c r="E10" s="27">
        <v>17229.371479542435</v>
      </c>
      <c r="F10" s="33">
        <v>6086670.2226322033</v>
      </c>
      <c r="G10" s="27">
        <v>15176.703649072138</v>
      </c>
      <c r="H10" s="33">
        <v>5578570.6507534059</v>
      </c>
      <c r="I10" s="27">
        <v>1484.1259413401829</v>
      </c>
      <c r="J10" s="33">
        <v>537934.10764849395</v>
      </c>
      <c r="K10" s="27">
        <v>244.83363125880805</v>
      </c>
      <c r="L10" s="33">
        <v>86972.209541239281</v>
      </c>
    </row>
    <row r="11" spans="2:32" x14ac:dyDescent="0.2">
      <c r="B11" s="25" t="s">
        <v>55</v>
      </c>
      <c r="C11" s="27">
        <v>1141.4585170411242</v>
      </c>
      <c r="D11" s="33">
        <v>699847.37380610104</v>
      </c>
      <c r="E11" s="27">
        <v>7260.4191516522251</v>
      </c>
      <c r="F11" s="33">
        <v>4424481.9919367321</v>
      </c>
      <c r="G11" s="27">
        <v>10008.642666548089</v>
      </c>
      <c r="H11" s="33">
        <v>6159423.2480445951</v>
      </c>
      <c r="I11" s="27">
        <v>891.29330038577086</v>
      </c>
      <c r="J11" s="33">
        <v>543442.74994371366</v>
      </c>
      <c r="K11" s="27">
        <v>138.06251099003003</v>
      </c>
      <c r="L11" s="33">
        <v>85079.706876930999</v>
      </c>
    </row>
    <row r="12" spans="2:32" x14ac:dyDescent="0.2">
      <c r="B12" s="25" t="s">
        <v>56</v>
      </c>
      <c r="C12" s="27">
        <v>639.88615057655988</v>
      </c>
      <c r="D12" s="33">
        <v>557294.34849868598</v>
      </c>
      <c r="E12" s="27">
        <v>3529.8142889858409</v>
      </c>
      <c r="F12" s="33">
        <v>3040196.2600594037</v>
      </c>
      <c r="G12" s="27">
        <v>5915.6386330499799</v>
      </c>
      <c r="H12" s="33">
        <v>5105780.5251777899</v>
      </c>
      <c r="I12" s="27">
        <v>534.67376099797809</v>
      </c>
      <c r="J12" s="33">
        <v>463311.21122827538</v>
      </c>
      <c r="K12" s="27">
        <v>73.393173297626504</v>
      </c>
      <c r="L12" s="33">
        <v>63370.717086858029</v>
      </c>
    </row>
    <row r="13" spans="2:32" x14ac:dyDescent="0.2">
      <c r="B13" s="25" t="s">
        <v>57</v>
      </c>
      <c r="C13" s="27">
        <v>1580.0564827495959</v>
      </c>
      <c r="D13" s="33">
        <v>3012138.9994157567</v>
      </c>
      <c r="E13" s="27">
        <v>6458.3602833265868</v>
      </c>
      <c r="F13" s="33">
        <v>11745796.827933269</v>
      </c>
      <c r="G13" s="27">
        <v>10773.853014571017</v>
      </c>
      <c r="H13" s="33">
        <v>18893229.455305483</v>
      </c>
      <c r="I13" s="27">
        <v>1242.4510529129257</v>
      </c>
      <c r="J13" s="33">
        <v>2285011.2335818275</v>
      </c>
      <c r="K13" s="27">
        <v>210.08278213106249</v>
      </c>
      <c r="L13" s="33">
        <v>406576.486100932</v>
      </c>
    </row>
    <row r="14" spans="2:32" x14ac:dyDescent="0.2">
      <c r="B14" s="25" t="s">
        <v>58</v>
      </c>
      <c r="C14" s="27">
        <v>102.36027866836379</v>
      </c>
      <c r="D14" s="33">
        <v>689058.57857848878</v>
      </c>
      <c r="E14" s="27">
        <v>444.05579400261752</v>
      </c>
      <c r="F14" s="33">
        <v>3000113.9560595839</v>
      </c>
      <c r="G14" s="27">
        <v>340.81135662664025</v>
      </c>
      <c r="H14" s="33">
        <v>2299273.1647073808</v>
      </c>
      <c r="I14" s="27">
        <v>71.420884103225603</v>
      </c>
      <c r="J14" s="33">
        <v>477653.07461922546</v>
      </c>
      <c r="K14" s="27">
        <v>37.79881510284239</v>
      </c>
      <c r="L14" s="33">
        <v>258762.9478018854</v>
      </c>
    </row>
    <row r="15" spans="2:32" x14ac:dyDescent="0.2">
      <c r="B15" s="26" t="s">
        <v>50</v>
      </c>
      <c r="C15" s="27">
        <v>39.617425016298753</v>
      </c>
      <c r="D15" s="33">
        <v>792179.72910612565</v>
      </c>
      <c r="E15" s="27">
        <v>250.68628828696964</v>
      </c>
      <c r="F15" s="33">
        <v>5898119.9206952555</v>
      </c>
      <c r="G15" s="27">
        <v>151.73247934751348</v>
      </c>
      <c r="H15" s="33">
        <v>5691238.7805073243</v>
      </c>
      <c r="I15" s="27">
        <v>27.728191426425141</v>
      </c>
      <c r="J15" s="33">
        <v>757449.44395369024</v>
      </c>
      <c r="K15" s="27">
        <v>16.860422141488339</v>
      </c>
      <c r="L15" s="33">
        <v>335534.40328089613</v>
      </c>
    </row>
    <row r="16" spans="2:32" x14ac:dyDescent="0.2">
      <c r="B16" s="10" t="s">
        <v>0</v>
      </c>
      <c r="C16" s="96">
        <f t="shared" ref="C16:L16" si="0">SUM(C5:C15)</f>
        <v>14636.627788375408</v>
      </c>
      <c r="D16" s="31">
        <f t="shared" si="0"/>
        <v>6987102.3990790369</v>
      </c>
      <c r="E16" s="96">
        <f t="shared" si="0"/>
        <v>238522.06513887545</v>
      </c>
      <c r="F16" s="31">
        <f t="shared" si="0"/>
        <v>42101148.665419064</v>
      </c>
      <c r="G16" s="96">
        <f t="shared" si="0"/>
        <v>84893.97593076466</v>
      </c>
      <c r="H16" s="31">
        <f t="shared" si="0"/>
        <v>46636275.013904735</v>
      </c>
      <c r="I16" s="96">
        <f t="shared" si="0"/>
        <v>11418.048426648314</v>
      </c>
      <c r="J16" s="31">
        <f t="shared" si="0"/>
        <v>5435738.9458229281</v>
      </c>
      <c r="K16" s="96">
        <f t="shared" si="0"/>
        <v>9122.3604531005385</v>
      </c>
      <c r="L16" s="31">
        <f t="shared" si="0"/>
        <v>1369835.9845853401</v>
      </c>
    </row>
    <row r="18" spans="2:12" s="195" customFormat="1" x14ac:dyDescent="0.2">
      <c r="B18" s="261" t="s">
        <v>33</v>
      </c>
      <c r="C18" s="260"/>
      <c r="D18" s="260"/>
      <c r="E18" s="260"/>
      <c r="F18" s="260"/>
      <c r="G18" s="260"/>
      <c r="H18" s="260"/>
      <c r="I18" s="260"/>
      <c r="J18" s="260"/>
      <c r="K18" s="260"/>
      <c r="L18" s="260"/>
    </row>
    <row r="19" spans="2:12" ht="24.75" customHeight="1" x14ac:dyDescent="0.2">
      <c r="B19" s="258" t="s">
        <v>580</v>
      </c>
      <c r="C19" s="258"/>
      <c r="D19" s="258"/>
      <c r="E19" s="258"/>
      <c r="F19" s="258"/>
      <c r="G19" s="258"/>
      <c r="H19" s="258"/>
      <c r="I19" s="258"/>
      <c r="J19" s="258"/>
      <c r="K19" s="258"/>
      <c r="L19" s="258"/>
    </row>
    <row r="20" spans="2:12" ht="25.5" customHeight="1" x14ac:dyDescent="0.2">
      <c r="B20" s="258" t="s">
        <v>581</v>
      </c>
      <c r="C20" s="258"/>
      <c r="D20" s="258"/>
      <c r="E20" s="258"/>
      <c r="F20" s="258"/>
      <c r="G20" s="258"/>
      <c r="H20" s="258"/>
      <c r="I20" s="258"/>
      <c r="J20" s="258"/>
      <c r="K20" s="258"/>
      <c r="L20" s="258"/>
    </row>
  </sheetData>
  <mergeCells count="9">
    <mergeCell ref="B19:L19"/>
    <mergeCell ref="B20:L20"/>
    <mergeCell ref="B3:B4"/>
    <mergeCell ref="C3:D3"/>
    <mergeCell ref="E3:F3"/>
    <mergeCell ref="G3:H3"/>
    <mergeCell ref="I3:J3"/>
    <mergeCell ref="K3:L3"/>
    <mergeCell ref="B18:L18"/>
  </mergeCells>
  <pageMargins left="0.78740157480314965" right="0.78740157480314965" top="0.98425196850393704" bottom="0.98425196850393704" header="0.51181102362204722" footer="0.51181102362204722"/>
  <pageSetup paperSize="9" scale="84" orientation="landscape" r:id="rId1"/>
  <headerFooter alignWithMargins="0"/>
  <colBreaks count="1" manualBreakCount="1">
    <brk id="14" max="42"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97E"/>
    <pageSetUpPr fitToPage="1"/>
  </sheetPr>
  <dimension ref="B1:AF20"/>
  <sheetViews>
    <sheetView view="pageBreakPreview" zoomScaleNormal="100" zoomScaleSheetLayoutView="100" zoomScalePageLayoutView="70" workbookViewId="0"/>
  </sheetViews>
  <sheetFormatPr baseColWidth="10" defaultRowHeight="12.75" x14ac:dyDescent="0.2"/>
  <cols>
    <col min="1" max="1" width="2" style="164" customWidth="1"/>
    <col min="2" max="2" width="16.28515625" style="164" customWidth="1"/>
    <col min="3" max="14" width="10.7109375" style="164" customWidth="1"/>
    <col min="15" max="16384" width="11.42578125" style="164"/>
  </cols>
  <sheetData>
    <row r="1" spans="2:32" s="11" customFormat="1" ht="15.75" x14ac:dyDescent="0.2">
      <c r="B1" s="213" t="str">
        <f>Inhaltsverzeichnis!B41&amp;" "&amp;Inhaltsverzeichnis!C41&amp;" "&amp;Inhaltsverzeichnis!E41</f>
        <v>Tabelle  14a: Verteilung der Pflichtigen und des Reinvermögens nach Familientyp und Stufen des Reineinkommens, 2013</v>
      </c>
      <c r="C1" s="214"/>
      <c r="D1" s="214"/>
      <c r="E1" s="214"/>
      <c r="F1" s="214"/>
      <c r="G1" s="214"/>
      <c r="H1" s="214"/>
      <c r="I1" s="214"/>
      <c r="J1" s="214"/>
      <c r="K1" s="214"/>
      <c r="L1" s="214"/>
      <c r="M1" s="214"/>
      <c r="N1" s="214"/>
      <c r="O1" s="214"/>
      <c r="P1" s="214"/>
      <c r="Q1" s="214"/>
      <c r="R1" s="214"/>
      <c r="S1" s="214"/>
      <c r="T1" s="163"/>
      <c r="U1" s="163"/>
      <c r="V1" s="163"/>
      <c r="W1" s="163"/>
      <c r="X1" s="163"/>
      <c r="Y1" s="163"/>
      <c r="Z1" s="163"/>
      <c r="AA1" s="163"/>
      <c r="AB1" s="163"/>
      <c r="AC1" s="163"/>
      <c r="AD1" s="163"/>
      <c r="AE1" s="163"/>
      <c r="AF1" s="163"/>
    </row>
    <row r="3" spans="2:32" ht="25.5" customHeight="1" x14ac:dyDescent="0.2">
      <c r="B3" s="248" t="s">
        <v>571</v>
      </c>
      <c r="C3" s="291" t="s">
        <v>113</v>
      </c>
      <c r="D3" s="292"/>
      <c r="E3" s="292"/>
      <c r="F3" s="292"/>
      <c r="G3" s="291" t="s">
        <v>68</v>
      </c>
      <c r="H3" s="292"/>
      <c r="I3" s="292"/>
      <c r="J3" s="292"/>
      <c r="K3" s="291" t="s">
        <v>0</v>
      </c>
      <c r="L3" s="292"/>
      <c r="M3" s="292"/>
      <c r="N3" s="292"/>
    </row>
    <row r="4" spans="2:32" s="165" customFormat="1" x14ac:dyDescent="0.2">
      <c r="B4" s="279"/>
      <c r="C4" s="290" t="s">
        <v>102</v>
      </c>
      <c r="D4" s="287"/>
      <c r="E4" s="290" t="s">
        <v>103</v>
      </c>
      <c r="F4" s="287"/>
      <c r="G4" s="290" t="s">
        <v>102</v>
      </c>
      <c r="H4" s="287"/>
      <c r="I4" s="290" t="s">
        <v>103</v>
      </c>
      <c r="J4" s="287"/>
      <c r="K4" s="290" t="s">
        <v>102</v>
      </c>
      <c r="L4" s="287"/>
      <c r="M4" s="290" t="s">
        <v>103</v>
      </c>
      <c r="N4" s="287"/>
    </row>
    <row r="5" spans="2:32" ht="25.5" x14ac:dyDescent="0.2">
      <c r="B5" s="269"/>
      <c r="C5" s="196" t="s">
        <v>441</v>
      </c>
      <c r="D5" s="203" t="s">
        <v>532</v>
      </c>
      <c r="E5" s="196" t="s">
        <v>441</v>
      </c>
      <c r="F5" s="203" t="s">
        <v>532</v>
      </c>
      <c r="G5" s="196" t="s">
        <v>441</v>
      </c>
      <c r="H5" s="203" t="s">
        <v>532</v>
      </c>
      <c r="I5" s="196" t="s">
        <v>441</v>
      </c>
      <c r="J5" s="203" t="s">
        <v>532</v>
      </c>
      <c r="K5" s="196" t="s">
        <v>441</v>
      </c>
      <c r="L5" s="203" t="s">
        <v>532</v>
      </c>
      <c r="M5" s="196" t="s">
        <v>441</v>
      </c>
      <c r="N5" s="203" t="s">
        <v>532</v>
      </c>
    </row>
    <row r="6" spans="2:32" x14ac:dyDescent="0.2">
      <c r="B6" s="25">
        <v>0</v>
      </c>
      <c r="C6" s="27">
        <v>13919.125778204272</v>
      </c>
      <c r="D6" s="33">
        <v>0</v>
      </c>
      <c r="E6" s="27">
        <v>263.46835427643902</v>
      </c>
      <c r="F6" s="33">
        <v>0</v>
      </c>
      <c r="G6" s="27">
        <v>620.43046604770768</v>
      </c>
      <c r="H6" s="33">
        <v>0</v>
      </c>
      <c r="I6" s="27">
        <v>402.19772415135157</v>
      </c>
      <c r="J6" s="33">
        <v>0</v>
      </c>
      <c r="K6" s="27">
        <f>C6+G6</f>
        <v>14539.55624425198</v>
      </c>
      <c r="L6" s="27">
        <f>D6+H6</f>
        <v>0</v>
      </c>
      <c r="M6" s="27">
        <f>E6+I6</f>
        <v>665.66607842779058</v>
      </c>
      <c r="N6" s="33">
        <f>F6+J6</f>
        <v>0</v>
      </c>
    </row>
    <row r="7" spans="2:32" x14ac:dyDescent="0.2">
      <c r="B7" s="25" t="s">
        <v>38</v>
      </c>
      <c r="C7" s="27">
        <v>19264.148055258618</v>
      </c>
      <c r="D7" s="33">
        <v>94770.598517831488</v>
      </c>
      <c r="E7" s="27">
        <v>405.04358332940922</v>
      </c>
      <c r="F7" s="33">
        <v>2271.2838419683394</v>
      </c>
      <c r="G7" s="27">
        <v>570.98820633719049</v>
      </c>
      <c r="H7" s="33">
        <v>2970.431544515679</v>
      </c>
      <c r="I7" s="27">
        <v>205.15805828100522</v>
      </c>
      <c r="J7" s="33">
        <v>1096.8903291787224</v>
      </c>
      <c r="K7" s="27">
        <f t="shared" ref="K7:K17" si="0">C7+G7</f>
        <v>19835.13626159581</v>
      </c>
      <c r="L7" s="27">
        <f t="shared" ref="L7:L17" si="1">D7+H7</f>
        <v>97741.03006234717</v>
      </c>
      <c r="M7" s="27">
        <f t="shared" ref="M7:M17" si="2">E7+I7</f>
        <v>610.20164161041441</v>
      </c>
      <c r="N7" s="33">
        <f t="shared" ref="N7:N17" si="3">F7+J7</f>
        <v>3368.1741711470618</v>
      </c>
    </row>
    <row r="8" spans="2:32" x14ac:dyDescent="0.2">
      <c r="B8" s="25" t="s">
        <v>39</v>
      </c>
      <c r="C8" s="27">
        <v>16586.324778461985</v>
      </c>
      <c r="D8" s="33">
        <v>254102.82452595481</v>
      </c>
      <c r="E8" s="27">
        <v>640.22126207864665</v>
      </c>
      <c r="F8" s="33">
        <v>9637.6782364714836</v>
      </c>
      <c r="G8" s="27">
        <v>940.2327897965389</v>
      </c>
      <c r="H8" s="33">
        <v>14543.914631328278</v>
      </c>
      <c r="I8" s="27">
        <v>294.3084093571884</v>
      </c>
      <c r="J8" s="33">
        <v>4446.9295109083614</v>
      </c>
      <c r="K8" s="27">
        <f t="shared" si="0"/>
        <v>17526.557568258526</v>
      </c>
      <c r="L8" s="27">
        <f t="shared" si="1"/>
        <v>268646.7391572831</v>
      </c>
      <c r="M8" s="27">
        <f t="shared" si="2"/>
        <v>934.5296714358351</v>
      </c>
      <c r="N8" s="33">
        <f t="shared" si="3"/>
        <v>14084.607747379845</v>
      </c>
    </row>
    <row r="9" spans="2:32" x14ac:dyDescent="0.2">
      <c r="B9" s="25" t="s">
        <v>40</v>
      </c>
      <c r="C9" s="27">
        <v>23565.955149111523</v>
      </c>
      <c r="D9" s="33">
        <v>592910.31680174975</v>
      </c>
      <c r="E9" s="27">
        <v>1121.8767556727739</v>
      </c>
      <c r="F9" s="33">
        <v>28517.485139182114</v>
      </c>
      <c r="G9" s="27">
        <v>1626.7664080142176</v>
      </c>
      <c r="H9" s="33">
        <v>41383.465569400236</v>
      </c>
      <c r="I9" s="27">
        <v>469.49523916176156</v>
      </c>
      <c r="J9" s="33">
        <v>12001.808218935208</v>
      </c>
      <c r="K9" s="27">
        <f t="shared" si="0"/>
        <v>25192.72155712574</v>
      </c>
      <c r="L9" s="27">
        <f t="shared" si="1"/>
        <v>634293.78237114998</v>
      </c>
      <c r="M9" s="27">
        <f t="shared" si="2"/>
        <v>1591.3719948345356</v>
      </c>
      <c r="N9" s="33">
        <f t="shared" si="3"/>
        <v>40519.29335811732</v>
      </c>
    </row>
    <row r="10" spans="2:32" x14ac:dyDescent="0.2">
      <c r="B10" s="25" t="s">
        <v>41</v>
      </c>
      <c r="C10" s="27">
        <v>61540.328151402522</v>
      </c>
      <c r="D10" s="33">
        <v>2483834.6504234406</v>
      </c>
      <c r="E10" s="27">
        <v>4180.4592796576526</v>
      </c>
      <c r="F10" s="33">
        <v>171722.28373783373</v>
      </c>
      <c r="G10" s="27">
        <v>10341.471155993235</v>
      </c>
      <c r="H10" s="33">
        <v>432512.46143889742</v>
      </c>
      <c r="I10" s="27">
        <v>3053.2686415599396</v>
      </c>
      <c r="J10" s="33">
        <v>129831.20949016979</v>
      </c>
      <c r="K10" s="27">
        <f t="shared" si="0"/>
        <v>71881.799307395762</v>
      </c>
      <c r="L10" s="27">
        <f t="shared" si="1"/>
        <v>2916347.1118623381</v>
      </c>
      <c r="M10" s="27">
        <f t="shared" si="2"/>
        <v>7233.7279212175927</v>
      </c>
      <c r="N10" s="33">
        <f t="shared" si="3"/>
        <v>301553.4932280035</v>
      </c>
    </row>
    <row r="11" spans="2:32" x14ac:dyDescent="0.2">
      <c r="B11" s="25" t="s">
        <v>42</v>
      </c>
      <c r="C11" s="27">
        <v>47074.461411901459</v>
      </c>
      <c r="D11" s="33">
        <v>2833747.3312918753</v>
      </c>
      <c r="E11" s="27">
        <v>5708.2438744673564</v>
      </c>
      <c r="F11" s="33">
        <v>350702.88150731311</v>
      </c>
      <c r="G11" s="27">
        <v>20112.568416777638</v>
      </c>
      <c r="H11" s="33">
        <v>1268363.5639045497</v>
      </c>
      <c r="I11" s="27">
        <v>12852.11239737679</v>
      </c>
      <c r="J11" s="33">
        <v>825323.81332903309</v>
      </c>
      <c r="K11" s="27">
        <f t="shared" si="0"/>
        <v>67187.029828679093</v>
      </c>
      <c r="L11" s="27">
        <f t="shared" si="1"/>
        <v>4102110.8951964248</v>
      </c>
      <c r="M11" s="27">
        <f t="shared" si="2"/>
        <v>18560.356271844146</v>
      </c>
      <c r="N11" s="33">
        <f t="shared" si="3"/>
        <v>1176026.6948363462</v>
      </c>
    </row>
    <row r="12" spans="2:32" x14ac:dyDescent="0.2">
      <c r="B12" s="25" t="s">
        <v>43</v>
      </c>
      <c r="C12" s="27">
        <v>13886.571527800143</v>
      </c>
      <c r="D12" s="33">
        <v>1182235.3786983509</v>
      </c>
      <c r="E12" s="27">
        <v>2708.6018737562249</v>
      </c>
      <c r="F12" s="33">
        <v>231720.95517627386</v>
      </c>
      <c r="G12" s="27">
        <v>18157.37214663922</v>
      </c>
      <c r="H12" s="33">
        <v>1574293.3017840588</v>
      </c>
      <c r="I12" s="27">
        <v>17071.559922946642</v>
      </c>
      <c r="J12" s="33">
        <v>1487387.9045522155</v>
      </c>
      <c r="K12" s="27">
        <f t="shared" si="0"/>
        <v>32043.943674439361</v>
      </c>
      <c r="L12" s="27">
        <f t="shared" si="1"/>
        <v>2756528.6804824099</v>
      </c>
      <c r="M12" s="27">
        <f t="shared" si="2"/>
        <v>19780.161796702869</v>
      </c>
      <c r="N12" s="33">
        <f t="shared" si="3"/>
        <v>1719108.8597284893</v>
      </c>
    </row>
    <row r="13" spans="2:32" x14ac:dyDescent="0.2">
      <c r="B13" s="25" t="s">
        <v>44</v>
      </c>
      <c r="C13" s="27">
        <v>6272.5215618515058</v>
      </c>
      <c r="D13" s="33">
        <v>733553.69790572219</v>
      </c>
      <c r="E13" s="27">
        <v>1579.7496576334534</v>
      </c>
      <c r="F13" s="33">
        <v>185292.87364238084</v>
      </c>
      <c r="G13" s="27">
        <v>15802.588377015685</v>
      </c>
      <c r="H13" s="33">
        <v>1886873.2802069373</v>
      </c>
      <c r="I13" s="27">
        <v>17311.593579374457</v>
      </c>
      <c r="J13" s="33">
        <v>2076306.8379238124</v>
      </c>
      <c r="K13" s="27">
        <f t="shared" si="0"/>
        <v>22075.10993886719</v>
      </c>
      <c r="L13" s="27">
        <f t="shared" si="1"/>
        <v>2620426.9781126594</v>
      </c>
      <c r="M13" s="27">
        <f t="shared" si="2"/>
        <v>18891.34323700791</v>
      </c>
      <c r="N13" s="33">
        <f t="shared" si="3"/>
        <v>2261599.7115661935</v>
      </c>
    </row>
    <row r="14" spans="2:32" x14ac:dyDescent="0.2">
      <c r="B14" s="25" t="s">
        <v>45</v>
      </c>
      <c r="C14" s="27">
        <v>1763.8887744934482</v>
      </c>
      <c r="D14" s="33">
        <v>325230.59927436337</v>
      </c>
      <c r="E14" s="27">
        <v>456.19184633407383</v>
      </c>
      <c r="F14" s="33">
        <v>83163.369554535122</v>
      </c>
      <c r="G14" s="27">
        <v>5774.7203951266511</v>
      </c>
      <c r="H14" s="33">
        <v>1059017.745866118</v>
      </c>
      <c r="I14" s="27">
        <v>7053.0178947957666</v>
      </c>
      <c r="J14" s="33">
        <v>1295428.2761083902</v>
      </c>
      <c r="K14" s="27">
        <f t="shared" si="0"/>
        <v>7538.6091696200992</v>
      </c>
      <c r="L14" s="27">
        <f t="shared" si="1"/>
        <v>1384248.3451404814</v>
      </c>
      <c r="M14" s="27">
        <f t="shared" si="2"/>
        <v>7509.20974112984</v>
      </c>
      <c r="N14" s="33">
        <f t="shared" si="3"/>
        <v>1378591.6456629252</v>
      </c>
    </row>
    <row r="15" spans="2:32" x14ac:dyDescent="0.2">
      <c r="B15" s="25" t="s">
        <v>46</v>
      </c>
      <c r="C15" s="27">
        <v>477.18128743567678</v>
      </c>
      <c r="D15" s="33">
        <v>153662.11748137471</v>
      </c>
      <c r="E15" s="27">
        <v>111.16882925576525</v>
      </c>
      <c r="F15" s="33">
        <v>35638.07142218126</v>
      </c>
      <c r="G15" s="27">
        <v>1477.7771262567358</v>
      </c>
      <c r="H15" s="33">
        <v>482838.91909860208</v>
      </c>
      <c r="I15" s="27">
        <v>1930.8024748143905</v>
      </c>
      <c r="J15" s="33">
        <v>630787.62656497909</v>
      </c>
      <c r="K15" s="27">
        <f t="shared" si="0"/>
        <v>1954.9584136924125</v>
      </c>
      <c r="L15" s="27">
        <f t="shared" si="1"/>
        <v>636501.03657997679</v>
      </c>
      <c r="M15" s="27">
        <f t="shared" si="2"/>
        <v>2041.9713040701558</v>
      </c>
      <c r="N15" s="33">
        <f t="shared" si="3"/>
        <v>666425.6979871603</v>
      </c>
    </row>
    <row r="16" spans="2:32" x14ac:dyDescent="0.2">
      <c r="B16" s="25" t="s">
        <v>47</v>
      </c>
      <c r="C16" s="27">
        <v>91.432864969785456</v>
      </c>
      <c r="D16" s="33">
        <v>58573.187058850825</v>
      </c>
      <c r="E16" s="27">
        <v>27.423262516052709</v>
      </c>
      <c r="F16" s="33">
        <v>18428.611929082352</v>
      </c>
      <c r="G16" s="27">
        <v>307.42675936733048</v>
      </c>
      <c r="H16" s="33">
        <v>200337.11075067459</v>
      </c>
      <c r="I16" s="27">
        <v>345.93185147549576</v>
      </c>
      <c r="J16" s="33">
        <v>222780.28452705519</v>
      </c>
      <c r="K16" s="27">
        <f t="shared" si="0"/>
        <v>398.85962433711592</v>
      </c>
      <c r="L16" s="27">
        <f t="shared" si="1"/>
        <v>258910.29780952542</v>
      </c>
      <c r="M16" s="27">
        <f t="shared" si="2"/>
        <v>373.35511399154848</v>
      </c>
      <c r="N16" s="33">
        <f t="shared" si="3"/>
        <v>241208.89645613753</v>
      </c>
    </row>
    <row r="17" spans="2:14" x14ac:dyDescent="0.2">
      <c r="B17" s="26" t="s">
        <v>48</v>
      </c>
      <c r="C17" s="27">
        <v>28.842381898133926</v>
      </c>
      <c r="D17" s="33">
        <v>71661.16666497571</v>
      </c>
      <c r="E17" s="27">
        <v>9.9851375744901105</v>
      </c>
      <c r="F17" s="33">
        <v>13673.979865449928</v>
      </c>
      <c r="G17" s="27">
        <v>90.961201358388209</v>
      </c>
      <c r="H17" s="33">
        <v>217136.77284552748</v>
      </c>
      <c r="I17" s="27">
        <v>97.112656365096214</v>
      </c>
      <c r="J17" s="33">
        <v>271183.64355412644</v>
      </c>
      <c r="K17" s="27">
        <f t="shared" si="0"/>
        <v>119.80358325652213</v>
      </c>
      <c r="L17" s="27">
        <f t="shared" si="1"/>
        <v>288797.9395105032</v>
      </c>
      <c r="M17" s="27">
        <f t="shared" si="2"/>
        <v>107.09779393958632</v>
      </c>
      <c r="N17" s="33">
        <f t="shared" si="3"/>
        <v>284857.62341957638</v>
      </c>
    </row>
    <row r="18" spans="2:14" x14ac:dyDescent="0.2">
      <c r="B18" s="10" t="s">
        <v>0</v>
      </c>
      <c r="C18" s="96">
        <f t="shared" ref="C18:L18" si="4">SUM(C6:C17)</f>
        <v>204470.78172278908</v>
      </c>
      <c r="D18" s="31">
        <f t="shared" si="4"/>
        <v>8784281.8686444927</v>
      </c>
      <c r="E18" s="96">
        <f t="shared" si="4"/>
        <v>17212.433716552339</v>
      </c>
      <c r="F18" s="31">
        <f t="shared" si="4"/>
        <v>1130769.474052672</v>
      </c>
      <c r="G18" s="96">
        <f t="shared" si="4"/>
        <v>75823.303448730541</v>
      </c>
      <c r="H18" s="31">
        <f t="shared" si="4"/>
        <v>7180270.9676406085</v>
      </c>
      <c r="I18" s="96">
        <f t="shared" si="4"/>
        <v>61086.558849659879</v>
      </c>
      <c r="J18" s="31">
        <f t="shared" si="4"/>
        <v>6956575.2241088049</v>
      </c>
      <c r="K18" s="96">
        <f t="shared" si="4"/>
        <v>280294.08517151966</v>
      </c>
      <c r="L18" s="31">
        <f t="shared" si="4"/>
        <v>15964552.836285101</v>
      </c>
      <c r="M18" s="96">
        <f t="shared" ref="M18:N18" si="5">SUM(M6:M17)</f>
        <v>78298.992566212226</v>
      </c>
      <c r="N18" s="31">
        <f t="shared" si="5"/>
        <v>8087344.6981614763</v>
      </c>
    </row>
    <row r="20" spans="2:14" x14ac:dyDescent="0.2">
      <c r="B20" s="261" t="s">
        <v>33</v>
      </c>
      <c r="C20" s="260"/>
      <c r="D20" s="260"/>
      <c r="E20" s="260"/>
      <c r="F20" s="260"/>
      <c r="G20" s="260"/>
      <c r="H20" s="260"/>
      <c r="I20" s="260"/>
      <c r="J20" s="260"/>
      <c r="K20" s="260"/>
      <c r="L20" s="260"/>
      <c r="M20" s="260"/>
      <c r="N20" s="260"/>
    </row>
  </sheetData>
  <mergeCells count="11">
    <mergeCell ref="B20:N20"/>
    <mergeCell ref="C4:D4"/>
    <mergeCell ref="E4:F4"/>
    <mergeCell ref="G4:H4"/>
    <mergeCell ref="I4:J4"/>
    <mergeCell ref="K4:L4"/>
    <mergeCell ref="M4:N4"/>
    <mergeCell ref="B3:B5"/>
    <mergeCell ref="C3:F3"/>
    <mergeCell ref="G3:J3"/>
    <mergeCell ref="K3:N3"/>
  </mergeCells>
  <pageMargins left="0.78740157480314965" right="0.78740157480314965" top="0.98425196850393704" bottom="0.98425196850393704" header="0.51181102362204722" footer="0.51181102362204722"/>
  <pageSetup paperSize="9" scale="89" orientation="landscape" r:id="rId1"/>
  <headerFooter alignWithMargins="0"/>
  <colBreaks count="1" manualBreakCount="1">
    <brk id="14" max="42"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97E"/>
    <pageSetUpPr fitToPage="1"/>
  </sheetPr>
  <dimension ref="B1:AF19"/>
  <sheetViews>
    <sheetView view="pageBreakPreview" zoomScaleNormal="100" zoomScaleSheetLayoutView="100" zoomScalePageLayoutView="70" workbookViewId="0"/>
  </sheetViews>
  <sheetFormatPr baseColWidth="10" defaultRowHeight="12.75" x14ac:dyDescent="0.2"/>
  <cols>
    <col min="1" max="1" width="2" style="164" customWidth="1"/>
    <col min="2" max="2" width="16.28515625" style="164" customWidth="1"/>
    <col min="3" max="14" width="10.7109375" style="164" customWidth="1"/>
    <col min="15" max="16384" width="11.42578125" style="164"/>
  </cols>
  <sheetData>
    <row r="1" spans="2:32" s="11" customFormat="1" ht="15.75" x14ac:dyDescent="0.2">
      <c r="B1" s="213" t="str">
        <f>Inhaltsverzeichnis!B42&amp;" "&amp;Inhaltsverzeichnis!C42&amp;" "&amp;Inhaltsverzeichnis!E42</f>
        <v>Tabelle  14b: Verteilung der Pflichtigen und des Reinvermögens nach Familientyp und Stufen des Reinvermögens 2013</v>
      </c>
      <c r="C1" s="214"/>
      <c r="D1" s="214"/>
      <c r="E1" s="214"/>
      <c r="F1" s="214"/>
      <c r="G1" s="214"/>
      <c r="H1" s="214"/>
      <c r="I1" s="214"/>
      <c r="J1" s="214"/>
      <c r="K1" s="214"/>
      <c r="L1" s="214"/>
      <c r="M1" s="214"/>
      <c r="N1" s="214"/>
      <c r="O1" s="214"/>
      <c r="P1" s="214"/>
      <c r="Q1" s="214"/>
      <c r="R1" s="214"/>
      <c r="S1" s="214"/>
      <c r="T1" s="163"/>
      <c r="U1" s="163"/>
      <c r="V1" s="163"/>
      <c r="W1" s="163"/>
      <c r="X1" s="163"/>
      <c r="Y1" s="163"/>
      <c r="Z1" s="163"/>
      <c r="AA1" s="163"/>
      <c r="AB1" s="163"/>
      <c r="AC1" s="163"/>
      <c r="AD1" s="163"/>
      <c r="AE1" s="163"/>
      <c r="AF1" s="163"/>
    </row>
    <row r="3" spans="2:32" ht="25.5" customHeight="1" x14ac:dyDescent="0.2">
      <c r="B3" s="248" t="s">
        <v>569</v>
      </c>
      <c r="C3" s="291" t="s">
        <v>612</v>
      </c>
      <c r="D3" s="292"/>
      <c r="E3" s="292"/>
      <c r="F3" s="292"/>
      <c r="G3" s="291" t="s">
        <v>68</v>
      </c>
      <c r="H3" s="292"/>
      <c r="I3" s="292"/>
      <c r="J3" s="292"/>
      <c r="K3" s="291" t="s">
        <v>0</v>
      </c>
      <c r="L3" s="292"/>
      <c r="M3" s="292"/>
      <c r="N3" s="292"/>
    </row>
    <row r="4" spans="2:32" s="165" customFormat="1" x14ac:dyDescent="0.2">
      <c r="B4" s="279"/>
      <c r="C4" s="290" t="s">
        <v>102</v>
      </c>
      <c r="D4" s="287"/>
      <c r="E4" s="290" t="s">
        <v>103</v>
      </c>
      <c r="F4" s="287"/>
      <c r="G4" s="290" t="s">
        <v>102</v>
      </c>
      <c r="H4" s="287"/>
      <c r="I4" s="290" t="s">
        <v>103</v>
      </c>
      <c r="J4" s="287"/>
      <c r="K4" s="290" t="s">
        <v>102</v>
      </c>
      <c r="L4" s="287"/>
      <c r="M4" s="290" t="s">
        <v>103</v>
      </c>
      <c r="N4" s="287"/>
    </row>
    <row r="5" spans="2:32" ht="25.5" x14ac:dyDescent="0.2">
      <c r="B5" s="269"/>
      <c r="C5" s="196" t="s">
        <v>441</v>
      </c>
      <c r="D5" s="205" t="s">
        <v>533</v>
      </c>
      <c r="E5" s="196" t="s">
        <v>441</v>
      </c>
      <c r="F5" s="205" t="s">
        <v>533</v>
      </c>
      <c r="G5" s="196" t="s">
        <v>441</v>
      </c>
      <c r="H5" s="205" t="s">
        <v>533</v>
      </c>
      <c r="I5" s="196" t="s">
        <v>441</v>
      </c>
      <c r="J5" s="205" t="s">
        <v>533</v>
      </c>
      <c r="K5" s="196" t="s">
        <v>441</v>
      </c>
      <c r="L5" s="205" t="s">
        <v>533</v>
      </c>
      <c r="M5" s="196" t="s">
        <v>441</v>
      </c>
      <c r="N5" s="205" t="s">
        <v>533</v>
      </c>
    </row>
    <row r="6" spans="2:32" x14ac:dyDescent="0.2">
      <c r="B6" s="25">
        <v>0</v>
      </c>
      <c r="C6" s="27">
        <v>38841.552317644288</v>
      </c>
      <c r="D6" s="33">
        <v>0</v>
      </c>
      <c r="E6" s="27">
        <v>5635.8929745089581</v>
      </c>
      <c r="F6" s="33">
        <v>0</v>
      </c>
      <c r="G6" s="27">
        <v>10103.164501396677</v>
      </c>
      <c r="H6" s="33">
        <v>0</v>
      </c>
      <c r="I6" s="27">
        <v>19709.030742419494</v>
      </c>
      <c r="J6" s="33">
        <v>0</v>
      </c>
      <c r="K6" s="27">
        <f>C6+G6</f>
        <v>48944.716819040965</v>
      </c>
      <c r="L6" s="27">
        <f>D6+H6</f>
        <v>0</v>
      </c>
      <c r="M6" s="27">
        <f>E6+I6</f>
        <v>25344.923716928453</v>
      </c>
      <c r="N6" s="33">
        <f>F6+J6</f>
        <v>0</v>
      </c>
    </row>
    <row r="7" spans="2:32" x14ac:dyDescent="0.2">
      <c r="B7" s="25" t="s">
        <v>49</v>
      </c>
      <c r="C7" s="27">
        <v>67520.542870341029</v>
      </c>
      <c r="D7" s="33">
        <v>586557.96069736301</v>
      </c>
      <c r="E7" s="27">
        <v>4807.529114373664</v>
      </c>
      <c r="F7" s="33">
        <v>38210.53822489758</v>
      </c>
      <c r="G7" s="27">
        <v>6509.9954246865373</v>
      </c>
      <c r="H7" s="33">
        <v>61203.202048503648</v>
      </c>
      <c r="I7" s="27">
        <v>8449.3927368613622</v>
      </c>
      <c r="J7" s="33">
        <v>82001.20300893567</v>
      </c>
      <c r="K7" s="27">
        <f t="shared" ref="K7:N16" si="0">C7+G7</f>
        <v>74030.538295027567</v>
      </c>
      <c r="L7" s="27">
        <f t="shared" si="0"/>
        <v>647761.16274586669</v>
      </c>
      <c r="M7" s="27">
        <f t="shared" si="0"/>
        <v>13256.921851235027</v>
      </c>
      <c r="N7" s="33">
        <f t="shared" si="0"/>
        <v>120211.74123383325</v>
      </c>
    </row>
    <row r="8" spans="2:32" x14ac:dyDescent="0.2">
      <c r="B8" s="25" t="s">
        <v>51</v>
      </c>
      <c r="C8" s="27">
        <v>20891.423290493309</v>
      </c>
      <c r="D8" s="33">
        <v>751405.97783572599</v>
      </c>
      <c r="E8" s="27">
        <v>1458.8817882486576</v>
      </c>
      <c r="F8" s="33">
        <v>52972.505222182444</v>
      </c>
      <c r="G8" s="27">
        <v>3356.7800920098343</v>
      </c>
      <c r="H8" s="33">
        <v>124630.05426940712</v>
      </c>
      <c r="I8" s="27">
        <v>4203.5387021498318</v>
      </c>
      <c r="J8" s="33">
        <v>154610.0888376878</v>
      </c>
      <c r="K8" s="27">
        <f t="shared" si="0"/>
        <v>24248.203382503143</v>
      </c>
      <c r="L8" s="27">
        <f t="shared" si="0"/>
        <v>876036.03210513317</v>
      </c>
      <c r="M8" s="27">
        <f t="shared" si="0"/>
        <v>5662.4204903984892</v>
      </c>
      <c r="N8" s="33">
        <f t="shared" si="0"/>
        <v>207582.59405987023</v>
      </c>
    </row>
    <row r="9" spans="2:32" x14ac:dyDescent="0.2">
      <c r="B9" s="25" t="s">
        <v>52</v>
      </c>
      <c r="C9" s="27">
        <v>20201.024425710766</v>
      </c>
      <c r="D9" s="33">
        <v>1450511.6413656203</v>
      </c>
      <c r="E9" s="27">
        <v>1506.6493442160943</v>
      </c>
      <c r="F9" s="33">
        <v>108556.51003472743</v>
      </c>
      <c r="G9" s="27">
        <v>5508.6891140546732</v>
      </c>
      <c r="H9" s="33">
        <v>406071.92559094273</v>
      </c>
      <c r="I9" s="27">
        <v>5646.572819600221</v>
      </c>
      <c r="J9" s="33">
        <v>412623.27415511821</v>
      </c>
      <c r="K9" s="27">
        <f t="shared" si="0"/>
        <v>25709.713539765438</v>
      </c>
      <c r="L9" s="27">
        <f t="shared" si="0"/>
        <v>1856583.5669565629</v>
      </c>
      <c r="M9" s="27">
        <f t="shared" si="0"/>
        <v>7153.2221638163155</v>
      </c>
      <c r="N9" s="33">
        <f t="shared" si="0"/>
        <v>521179.78418984567</v>
      </c>
    </row>
    <row r="10" spans="2:32" x14ac:dyDescent="0.2">
      <c r="B10" s="25" t="s">
        <v>53</v>
      </c>
      <c r="C10" s="27">
        <v>22790.299384635033</v>
      </c>
      <c r="D10" s="33">
        <v>3680462.5143245626</v>
      </c>
      <c r="E10" s="27">
        <v>1902.8263672953028</v>
      </c>
      <c r="F10" s="33">
        <v>308285.59533948411</v>
      </c>
      <c r="G10" s="27">
        <v>12192.846007999751</v>
      </c>
      <c r="H10" s="33">
        <v>2072428.1151675293</v>
      </c>
      <c r="I10" s="27">
        <v>9327.519628880349</v>
      </c>
      <c r="J10" s="33">
        <v>1533392.6861029365</v>
      </c>
      <c r="K10" s="27">
        <f t="shared" si="0"/>
        <v>34983.145392634782</v>
      </c>
      <c r="L10" s="27">
        <f t="shared" si="0"/>
        <v>5752890.6294920919</v>
      </c>
      <c r="M10" s="27">
        <f t="shared" si="0"/>
        <v>11230.345996175653</v>
      </c>
      <c r="N10" s="33">
        <f t="shared" si="0"/>
        <v>1841678.2814424206</v>
      </c>
    </row>
    <row r="11" spans="2:32" x14ac:dyDescent="0.2">
      <c r="B11" s="25" t="s">
        <v>54</v>
      </c>
      <c r="C11" s="27">
        <v>15723.136499483699</v>
      </c>
      <c r="D11" s="33">
        <v>5638139.2431252357</v>
      </c>
      <c r="E11" s="27">
        <v>980.26503381960913</v>
      </c>
      <c r="F11" s="33">
        <v>343488.68175615586</v>
      </c>
      <c r="G11" s="27">
        <v>13030.161491525885</v>
      </c>
      <c r="H11" s="33">
        <v>4761821.5548590384</v>
      </c>
      <c r="I11" s="27">
        <v>6414.2053614520137</v>
      </c>
      <c r="J11" s="33">
        <v>2278362.6025390616</v>
      </c>
      <c r="K11" s="27">
        <f t="shared" si="0"/>
        <v>28753.297991009582</v>
      </c>
      <c r="L11" s="27">
        <f t="shared" si="0"/>
        <v>10399960.797984274</v>
      </c>
      <c r="M11" s="27">
        <f t="shared" si="0"/>
        <v>7394.4703952716227</v>
      </c>
      <c r="N11" s="33">
        <f t="shared" si="0"/>
        <v>2621851.2842952176</v>
      </c>
    </row>
    <row r="12" spans="2:32" x14ac:dyDescent="0.2">
      <c r="B12" s="25" t="s">
        <v>55</v>
      </c>
      <c r="C12" s="27">
        <v>7730.7657319013479</v>
      </c>
      <c r="D12" s="33">
        <v>4723008.4929815484</v>
      </c>
      <c r="E12" s="27">
        <v>405.08403685376078</v>
      </c>
      <c r="F12" s="33">
        <v>247389.24909462471</v>
      </c>
      <c r="G12" s="27">
        <v>8536.0417986985212</v>
      </c>
      <c r="H12" s="33">
        <v>5255950.6644144552</v>
      </c>
      <c r="I12" s="27">
        <v>2767.9845791646621</v>
      </c>
      <c r="J12" s="33">
        <v>1685926.6641180948</v>
      </c>
      <c r="K12" s="27">
        <f t="shared" si="0"/>
        <v>16266.807530599868</v>
      </c>
      <c r="L12" s="27">
        <f t="shared" si="0"/>
        <v>9978959.1573960036</v>
      </c>
      <c r="M12" s="27">
        <f t="shared" si="0"/>
        <v>3173.0686160184227</v>
      </c>
      <c r="N12" s="33">
        <f t="shared" si="0"/>
        <v>1933315.9132127196</v>
      </c>
    </row>
    <row r="13" spans="2:32" x14ac:dyDescent="0.2">
      <c r="B13" s="25" t="s">
        <v>56</v>
      </c>
      <c r="C13" s="27">
        <v>3906.5832791889743</v>
      </c>
      <c r="D13" s="33">
        <v>3360241.0484055569</v>
      </c>
      <c r="E13" s="27">
        <v>158.59197600683592</v>
      </c>
      <c r="F13" s="33">
        <v>137998.60048533435</v>
      </c>
      <c r="G13" s="27">
        <v>5175.9253536781089</v>
      </c>
      <c r="H13" s="33">
        <v>4478708.1625946248</v>
      </c>
      <c r="I13" s="27">
        <v>1452.3053980338125</v>
      </c>
      <c r="J13" s="33">
        <v>1253005.2505652788</v>
      </c>
      <c r="K13" s="27">
        <f t="shared" si="0"/>
        <v>9082.5086328670841</v>
      </c>
      <c r="L13" s="27">
        <f t="shared" si="0"/>
        <v>7838949.2110001817</v>
      </c>
      <c r="M13" s="27">
        <f t="shared" si="0"/>
        <v>1610.8973740406484</v>
      </c>
      <c r="N13" s="33">
        <f t="shared" si="0"/>
        <v>1391003.8510506132</v>
      </c>
    </row>
    <row r="14" spans="2:32" x14ac:dyDescent="0.2">
      <c r="B14" s="25" t="s">
        <v>57</v>
      </c>
      <c r="C14" s="27">
        <v>6479.1664389963344</v>
      </c>
      <c r="D14" s="33">
        <v>11168214.886071652</v>
      </c>
      <c r="E14" s="27">
        <v>318.92781958227175</v>
      </c>
      <c r="F14" s="33">
        <v>584288.40749598865</v>
      </c>
      <c r="G14" s="27">
        <v>10663.745484332278</v>
      </c>
      <c r="H14" s="33">
        <v>19431107.534064546</v>
      </c>
      <c r="I14" s="27">
        <v>2802.9638727802126</v>
      </c>
      <c r="J14" s="33">
        <v>5159142.1747049605</v>
      </c>
      <c r="K14" s="27">
        <f t="shared" si="0"/>
        <v>17142.911923328611</v>
      </c>
      <c r="L14" s="27">
        <f t="shared" si="0"/>
        <v>30599322.420136198</v>
      </c>
      <c r="M14" s="27">
        <f t="shared" si="0"/>
        <v>3121.8916923624843</v>
      </c>
      <c r="N14" s="33">
        <f t="shared" si="0"/>
        <v>5743430.5822009491</v>
      </c>
    </row>
    <row r="15" spans="2:32" x14ac:dyDescent="0.2">
      <c r="B15" s="25" t="s">
        <v>58</v>
      </c>
      <c r="C15" s="27">
        <v>265.51574414614197</v>
      </c>
      <c r="D15" s="33">
        <v>1764752.9257133012</v>
      </c>
      <c r="E15" s="27">
        <v>19.119828477683992</v>
      </c>
      <c r="F15" s="33">
        <v>131721.9339137272</v>
      </c>
      <c r="G15" s="27">
        <v>507.95303110856497</v>
      </c>
      <c r="H15" s="33">
        <v>3428031.5408745296</v>
      </c>
      <c r="I15" s="27">
        <v>203.85852477130007</v>
      </c>
      <c r="J15" s="33">
        <v>1400355.3212650144</v>
      </c>
      <c r="K15" s="27">
        <f t="shared" si="0"/>
        <v>773.468775254707</v>
      </c>
      <c r="L15" s="27">
        <f t="shared" si="0"/>
        <v>5192784.4665878303</v>
      </c>
      <c r="M15" s="27">
        <f t="shared" si="0"/>
        <v>222.97835324898406</v>
      </c>
      <c r="N15" s="33">
        <f t="shared" si="0"/>
        <v>1532077.2551787416</v>
      </c>
    </row>
    <row r="16" spans="2:32" x14ac:dyDescent="0.2">
      <c r="B16" s="26" t="s">
        <v>50</v>
      </c>
      <c r="C16" s="27">
        <v>120.77174026016154</v>
      </c>
      <c r="D16" s="33">
        <v>5464376.6539130956</v>
      </c>
      <c r="E16" s="27">
        <v>18.665433169417156</v>
      </c>
      <c r="F16" s="33">
        <v>351129.66354540602</v>
      </c>
      <c r="G16" s="27">
        <v>238.00114924301616</v>
      </c>
      <c r="H16" s="33">
        <v>5051954.2084102798</v>
      </c>
      <c r="I16" s="27">
        <v>109.18648354609998</v>
      </c>
      <c r="J16" s="33">
        <v>2607061.751674498</v>
      </c>
      <c r="K16" s="27">
        <f t="shared" si="0"/>
        <v>358.77288950317768</v>
      </c>
      <c r="L16" s="27">
        <f t="shared" si="0"/>
        <v>10516330.862323375</v>
      </c>
      <c r="M16" s="27">
        <f t="shared" si="0"/>
        <v>127.85191671551713</v>
      </c>
      <c r="N16" s="33">
        <f t="shared" si="0"/>
        <v>2958191.4152199039</v>
      </c>
    </row>
    <row r="17" spans="2:14" x14ac:dyDescent="0.2">
      <c r="B17" s="10" t="s">
        <v>0</v>
      </c>
      <c r="C17" s="96">
        <f t="shared" ref="C17:N17" si="1">SUM(C6:C16)</f>
        <v>204470.78172280104</v>
      </c>
      <c r="D17" s="31">
        <f t="shared" si="1"/>
        <v>38587671.344433665</v>
      </c>
      <c r="E17" s="96">
        <f t="shared" si="1"/>
        <v>17212.433716552259</v>
      </c>
      <c r="F17" s="31">
        <f t="shared" si="1"/>
        <v>2304041.6851125285</v>
      </c>
      <c r="G17" s="96">
        <f t="shared" si="1"/>
        <v>75823.303448733859</v>
      </c>
      <c r="H17" s="31">
        <f t="shared" si="1"/>
        <v>45071906.962293848</v>
      </c>
      <c r="I17" s="96">
        <f t="shared" si="1"/>
        <v>61086.55884965937</v>
      </c>
      <c r="J17" s="31">
        <f t="shared" si="1"/>
        <v>16566481.016971584</v>
      </c>
      <c r="K17" s="96">
        <f t="shared" si="1"/>
        <v>280294.08517153497</v>
      </c>
      <c r="L17" s="31">
        <f t="shared" si="1"/>
        <v>83659578.306727514</v>
      </c>
      <c r="M17" s="96">
        <f t="shared" si="1"/>
        <v>78298.992566211615</v>
      </c>
      <c r="N17" s="31">
        <f t="shared" si="1"/>
        <v>18870522.702084113</v>
      </c>
    </row>
    <row r="19" spans="2:14" x14ac:dyDescent="0.2">
      <c r="B19" s="261" t="s">
        <v>33</v>
      </c>
      <c r="C19" s="260"/>
      <c r="D19" s="260"/>
      <c r="E19" s="260"/>
      <c r="F19" s="260"/>
      <c r="G19" s="260"/>
      <c r="H19" s="260"/>
      <c r="I19" s="260"/>
      <c r="J19" s="260"/>
      <c r="K19" s="260"/>
      <c r="L19" s="260"/>
      <c r="M19" s="260"/>
      <c r="N19" s="260"/>
    </row>
  </sheetData>
  <mergeCells count="11">
    <mergeCell ref="B19:N19"/>
    <mergeCell ref="M4:N4"/>
    <mergeCell ref="B3:B5"/>
    <mergeCell ref="C3:F3"/>
    <mergeCell ref="G3:J3"/>
    <mergeCell ref="K3:N3"/>
    <mergeCell ref="C4:D4"/>
    <mergeCell ref="E4:F4"/>
    <mergeCell ref="G4:H4"/>
    <mergeCell ref="I4:J4"/>
    <mergeCell ref="K4:L4"/>
  </mergeCells>
  <pageMargins left="0.78740157480314965" right="0.78740157480314965" top="0.98425196850393704" bottom="0.98425196850393704" header="0.51181102362204722" footer="0.51181102362204722"/>
  <pageSetup paperSize="9" scale="89" orientation="landscape" r:id="rId1"/>
  <headerFooter alignWithMargins="0"/>
  <colBreaks count="1" manualBreakCount="1">
    <brk id="14" max="42"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14999847407452621"/>
    <pageSetUpPr fitToPage="1"/>
  </sheetPr>
  <dimension ref="B1:AC58"/>
  <sheetViews>
    <sheetView view="pageBreakPreview" zoomScaleNormal="70" zoomScaleSheetLayoutView="100" workbookViewId="0"/>
  </sheetViews>
  <sheetFormatPr baseColWidth="10" defaultRowHeight="12.75" x14ac:dyDescent="0.2"/>
  <cols>
    <col min="1" max="1" width="2" style="42" customWidth="1"/>
    <col min="2" max="2" width="5.7109375" style="42" customWidth="1"/>
    <col min="3" max="3" width="14.5703125" style="42" customWidth="1"/>
    <col min="4" max="4" width="17.85546875" style="42" customWidth="1"/>
    <col min="5" max="5" width="16.85546875" style="42" customWidth="1"/>
    <col min="6" max="6" width="14.5703125" style="42" customWidth="1"/>
    <col min="7" max="7" width="15.5703125" style="42" customWidth="1"/>
    <col min="8" max="8" width="14.5703125" style="42" customWidth="1"/>
    <col min="9" max="29" width="14" style="42" customWidth="1"/>
    <col min="30" max="16384" width="11.42578125" style="42"/>
  </cols>
  <sheetData>
    <row r="1" spans="2:29" s="11" customFormat="1" ht="15.75" x14ac:dyDescent="0.2">
      <c r="B1" s="213" t="str">
        <f>Inhaltsverzeichnis!B20&amp;" "&amp;Inhaltsverzeichnis!C20&amp;" "&amp;Inhaltsverzeichnis!E20</f>
        <v>Tabelle 1: Entwicklung der Pflichtigenzahl und der durchschnittlichen Einkommen und Vermögen, 2001 – 2013</v>
      </c>
      <c r="C1" s="214"/>
      <c r="D1" s="214"/>
      <c r="E1" s="214"/>
      <c r="F1" s="214"/>
      <c r="G1" s="214"/>
      <c r="H1" s="214"/>
      <c r="I1" s="214"/>
      <c r="J1" s="214"/>
      <c r="K1" s="214"/>
      <c r="L1" s="214"/>
      <c r="M1" s="214"/>
      <c r="N1" s="214"/>
      <c r="O1" s="214"/>
      <c r="P1" s="214"/>
      <c r="Q1" s="214"/>
      <c r="R1" s="214"/>
      <c r="S1" s="78"/>
      <c r="T1" s="78"/>
      <c r="U1" s="78"/>
      <c r="V1" s="78"/>
      <c r="W1" s="78"/>
      <c r="X1" s="78"/>
      <c r="Y1" s="78"/>
      <c r="Z1" s="78"/>
      <c r="AA1" s="78"/>
      <c r="AB1" s="78"/>
      <c r="AC1" s="78"/>
    </row>
    <row r="3" spans="2:29" s="45" customFormat="1" ht="39.75" x14ac:dyDescent="0.2">
      <c r="B3" s="75" t="s">
        <v>4</v>
      </c>
      <c r="C3" s="206" t="s">
        <v>441</v>
      </c>
      <c r="D3" s="203" t="s">
        <v>565</v>
      </c>
      <c r="E3" s="203" t="s">
        <v>589</v>
      </c>
      <c r="F3" s="203" t="s">
        <v>590</v>
      </c>
      <c r="G3" s="203" t="s">
        <v>591</v>
      </c>
      <c r="H3" s="203" t="s">
        <v>592</v>
      </c>
      <c r="I3" s="205" t="s">
        <v>593</v>
      </c>
      <c r="J3" s="44"/>
      <c r="K3" s="43"/>
      <c r="L3" s="44"/>
      <c r="M3" s="43"/>
      <c r="N3" s="44"/>
      <c r="O3" s="43"/>
      <c r="P3" s="44"/>
      <c r="Q3" s="43"/>
      <c r="R3" s="44"/>
      <c r="S3" s="44"/>
      <c r="T3" s="43"/>
      <c r="U3" s="43"/>
      <c r="V3" s="44"/>
      <c r="W3" s="43"/>
      <c r="X3" s="44"/>
      <c r="Y3" s="43"/>
      <c r="Z3" s="44"/>
      <c r="AA3" s="43"/>
      <c r="AB3" s="44"/>
      <c r="AC3" s="43"/>
    </row>
    <row r="4" spans="2:29" s="7" customFormat="1" x14ac:dyDescent="0.2">
      <c r="B4" s="32">
        <v>2001</v>
      </c>
      <c r="C4" s="86">
        <v>297032.06849706284</v>
      </c>
      <c r="D4" s="86">
        <v>77904.820331863069</v>
      </c>
      <c r="E4" s="86">
        <v>59732.482998543899</v>
      </c>
      <c r="F4" s="86">
        <v>55699</v>
      </c>
      <c r="G4" s="86">
        <v>402358.89218121959</v>
      </c>
      <c r="H4" s="86">
        <v>255582.98782924673</v>
      </c>
      <c r="I4" s="86">
        <v>175296</v>
      </c>
      <c r="J4" s="22"/>
      <c r="K4" s="177"/>
      <c r="L4" s="177"/>
      <c r="M4" s="23"/>
      <c r="N4" s="22"/>
      <c r="O4" s="23"/>
      <c r="P4" s="22"/>
      <c r="Q4" s="23"/>
      <c r="R4" s="22"/>
      <c r="S4" s="22"/>
      <c r="T4" s="23"/>
      <c r="U4" s="23"/>
      <c r="V4" s="22"/>
      <c r="W4" s="23"/>
      <c r="X4" s="22"/>
      <c r="Y4" s="23"/>
      <c r="Z4" s="22"/>
      <c r="AA4" s="23"/>
      <c r="AB4" s="22"/>
      <c r="AC4" s="23"/>
    </row>
    <row r="5" spans="2:29" s="7" customFormat="1" x14ac:dyDescent="0.2">
      <c r="B5" s="151">
        <v>2002</v>
      </c>
      <c r="C5" s="86">
        <v>301610.59926758514</v>
      </c>
      <c r="D5" s="86">
        <v>78264.690382728382</v>
      </c>
      <c r="E5" s="86">
        <v>59867.893192700372</v>
      </c>
      <c r="F5" s="86">
        <v>55830.054206959299</v>
      </c>
      <c r="G5" s="86">
        <v>405574.43283881195</v>
      </c>
      <c r="H5" s="86">
        <v>251497.43086451487</v>
      </c>
      <c r="I5" s="86">
        <v>169180.94847107699</v>
      </c>
      <c r="J5" s="22"/>
      <c r="K5" s="177"/>
      <c r="L5" s="177"/>
      <c r="M5" s="23"/>
      <c r="N5" s="22"/>
      <c r="O5" s="23"/>
      <c r="P5" s="22"/>
      <c r="Q5" s="23"/>
      <c r="R5" s="22"/>
      <c r="S5" s="22"/>
      <c r="T5" s="23"/>
      <c r="U5" s="23"/>
      <c r="V5" s="22"/>
      <c r="W5" s="23"/>
      <c r="X5" s="22"/>
      <c r="Y5" s="23"/>
      <c r="Z5" s="22"/>
      <c r="AA5" s="23"/>
      <c r="AB5" s="22"/>
      <c r="AC5" s="23"/>
    </row>
    <row r="6" spans="2:29" s="7" customFormat="1" x14ac:dyDescent="0.2">
      <c r="B6" s="32">
        <v>2003</v>
      </c>
      <c r="C6" s="86">
        <v>306943.21937556728</v>
      </c>
      <c r="D6" s="86">
        <v>77246.708465684933</v>
      </c>
      <c r="E6" s="86">
        <v>59486.883103850181</v>
      </c>
      <c r="F6" s="86">
        <v>55702.0318396492</v>
      </c>
      <c r="G6" s="86">
        <v>413080.45625012746</v>
      </c>
      <c r="H6" s="86">
        <v>258315.21294021353</v>
      </c>
      <c r="I6" s="86">
        <v>175785.037810354</v>
      </c>
      <c r="J6" s="22"/>
      <c r="K6" s="177"/>
      <c r="L6" s="177"/>
      <c r="M6" s="23"/>
      <c r="N6" s="22"/>
      <c r="O6" s="23"/>
      <c r="P6" s="22"/>
      <c r="Q6" s="23"/>
      <c r="R6" s="22"/>
      <c r="S6" s="22"/>
      <c r="T6" s="23"/>
      <c r="U6" s="23"/>
      <c r="V6" s="22"/>
      <c r="W6" s="23"/>
      <c r="X6" s="22"/>
      <c r="Y6" s="23"/>
      <c r="Z6" s="22"/>
      <c r="AA6" s="23"/>
      <c r="AB6" s="22"/>
      <c r="AC6" s="23"/>
    </row>
    <row r="7" spans="2:29" s="7" customFormat="1" x14ac:dyDescent="0.2">
      <c r="B7" s="151">
        <v>2004</v>
      </c>
      <c r="C7" s="86">
        <v>311817.75535596634</v>
      </c>
      <c r="D7" s="86">
        <v>77585.6025638758</v>
      </c>
      <c r="E7" s="86">
        <v>59782.919855303167</v>
      </c>
      <c r="F7" s="86">
        <v>55836.043879245299</v>
      </c>
      <c r="G7" s="86">
        <v>415615.14591606858</v>
      </c>
      <c r="H7" s="86">
        <v>256020.01273532893</v>
      </c>
      <c r="I7" s="86">
        <v>174864.49531892501</v>
      </c>
      <c r="J7" s="22"/>
      <c r="K7" s="177"/>
      <c r="L7" s="177"/>
      <c r="M7" s="23"/>
      <c r="N7" s="22"/>
      <c r="O7" s="23"/>
      <c r="P7" s="22"/>
      <c r="Q7" s="23"/>
      <c r="R7" s="22"/>
      <c r="S7" s="22"/>
      <c r="T7" s="23"/>
      <c r="U7" s="23"/>
      <c r="V7" s="22"/>
      <c r="W7" s="23"/>
      <c r="X7" s="22"/>
      <c r="Y7" s="23"/>
      <c r="Z7" s="22"/>
      <c r="AA7" s="23"/>
      <c r="AB7" s="22"/>
      <c r="AC7" s="23"/>
    </row>
    <row r="8" spans="2:29" s="7" customFormat="1" x14ac:dyDescent="0.2">
      <c r="B8" s="151">
        <v>2005</v>
      </c>
      <c r="C8" s="86">
        <v>316348.41468274372</v>
      </c>
      <c r="D8" s="86">
        <v>78292.893947289602</v>
      </c>
      <c r="E8" s="86">
        <v>60166.260974741796</v>
      </c>
      <c r="F8" s="86">
        <v>56267.1598983656</v>
      </c>
      <c r="G8" s="86">
        <v>430021.92613572866</v>
      </c>
      <c r="H8" s="86">
        <v>265595.71798939706</v>
      </c>
      <c r="I8" s="86">
        <v>185136.90619524699</v>
      </c>
      <c r="J8" s="22"/>
      <c r="K8" s="177"/>
      <c r="L8" s="177"/>
      <c r="M8" s="23"/>
      <c r="N8" s="22"/>
      <c r="O8" s="23"/>
      <c r="P8" s="22"/>
      <c r="Q8" s="23"/>
      <c r="R8" s="22"/>
      <c r="S8" s="22"/>
      <c r="T8" s="23"/>
      <c r="U8" s="23"/>
      <c r="V8" s="22"/>
      <c r="W8" s="23"/>
      <c r="X8" s="22"/>
      <c r="Y8" s="23"/>
      <c r="Z8" s="22"/>
      <c r="AA8" s="23"/>
      <c r="AB8" s="22"/>
      <c r="AC8" s="23"/>
    </row>
    <row r="9" spans="2:29" s="7" customFormat="1" x14ac:dyDescent="0.2">
      <c r="B9" s="151">
        <v>2006</v>
      </c>
      <c r="C9" s="86">
        <v>320784.19152067928</v>
      </c>
      <c r="D9" s="86">
        <v>79212.829964522985</v>
      </c>
      <c r="E9" s="86">
        <v>60868.842813902687</v>
      </c>
      <c r="F9" s="86">
        <v>56995.856743199198</v>
      </c>
      <c r="G9" s="86">
        <v>439896.62650555727</v>
      </c>
      <c r="H9" s="86">
        <v>272426.18997195363</v>
      </c>
      <c r="I9" s="86">
        <v>192002.34981756299</v>
      </c>
      <c r="J9" s="22"/>
      <c r="K9" s="177"/>
      <c r="L9" s="177"/>
      <c r="M9" s="23"/>
      <c r="N9" s="22"/>
      <c r="O9" s="23"/>
      <c r="P9" s="22"/>
      <c r="Q9" s="23"/>
      <c r="R9" s="22"/>
      <c r="S9" s="22"/>
      <c r="T9" s="23"/>
      <c r="U9" s="23"/>
      <c r="V9" s="22"/>
      <c r="W9" s="23"/>
      <c r="X9" s="22"/>
      <c r="Y9" s="23"/>
      <c r="Z9" s="22"/>
      <c r="AA9" s="23"/>
      <c r="AB9" s="22"/>
      <c r="AC9" s="23"/>
    </row>
    <row r="10" spans="2:29" s="7" customFormat="1" x14ac:dyDescent="0.2">
      <c r="B10" s="151">
        <v>2007</v>
      </c>
      <c r="C10" s="27">
        <v>325545.75593777496</v>
      </c>
      <c r="D10" s="27">
        <v>82008.1419038202</v>
      </c>
      <c r="E10" s="27">
        <v>62822.324867249838</v>
      </c>
      <c r="F10" s="27">
        <v>57615.744600264799</v>
      </c>
      <c r="G10" s="27">
        <v>440766.88252729329</v>
      </c>
      <c r="H10" s="27">
        <v>272495.59435670223</v>
      </c>
      <c r="I10" s="27">
        <v>192292.41542893599</v>
      </c>
      <c r="J10" s="22"/>
      <c r="K10" s="177"/>
      <c r="L10" s="177"/>
      <c r="M10" s="23"/>
      <c r="N10" s="22"/>
      <c r="O10" s="23"/>
      <c r="P10" s="22"/>
      <c r="Q10" s="23"/>
      <c r="R10" s="22"/>
      <c r="S10" s="22"/>
      <c r="T10" s="23"/>
      <c r="U10" s="23"/>
      <c r="V10" s="22"/>
      <c r="W10" s="23"/>
      <c r="X10" s="22"/>
      <c r="Y10" s="23"/>
      <c r="Z10" s="22"/>
      <c r="AA10" s="23"/>
      <c r="AB10" s="22"/>
      <c r="AC10" s="23"/>
    </row>
    <row r="11" spans="2:29" s="7" customFormat="1" x14ac:dyDescent="0.2">
      <c r="B11" s="151">
        <v>2008</v>
      </c>
      <c r="C11" s="27">
        <v>330149.53394653084</v>
      </c>
      <c r="D11" s="27">
        <v>83622.227419884744</v>
      </c>
      <c r="E11" s="27">
        <v>64159.942126363298</v>
      </c>
      <c r="F11" s="27">
        <v>58965.912390061603</v>
      </c>
      <c r="G11" s="27">
        <v>418480.65585794917</v>
      </c>
      <c r="H11" s="27">
        <v>249272.32503367227</v>
      </c>
      <c r="I11" s="27">
        <v>170354.123500977</v>
      </c>
      <c r="J11" s="22"/>
      <c r="K11" s="177"/>
      <c r="L11" s="177"/>
      <c r="M11" s="23"/>
      <c r="N11" s="22"/>
      <c r="O11" s="23"/>
      <c r="P11" s="22"/>
      <c r="Q11" s="23"/>
      <c r="R11" s="22"/>
      <c r="S11" s="22"/>
      <c r="T11" s="23"/>
      <c r="U11" s="23"/>
      <c r="V11" s="22"/>
      <c r="W11" s="23"/>
      <c r="X11" s="22"/>
      <c r="Y11" s="23"/>
      <c r="Z11" s="22"/>
      <c r="AA11" s="23"/>
      <c r="AB11" s="22"/>
      <c r="AC11" s="23"/>
    </row>
    <row r="12" spans="2:29" x14ac:dyDescent="0.2">
      <c r="B12" s="151">
        <v>2009</v>
      </c>
      <c r="C12" s="86">
        <v>336011.33484663442</v>
      </c>
      <c r="D12" s="86">
        <v>83887.885735824864</v>
      </c>
      <c r="E12" s="86">
        <v>64694.232046851896</v>
      </c>
      <c r="F12" s="86">
        <v>59478.178155111797</v>
      </c>
      <c r="G12" s="86">
        <v>434806.03276253928</v>
      </c>
      <c r="H12" s="86">
        <v>260996.51402846767</v>
      </c>
      <c r="I12" s="86">
        <v>181660.17899005799</v>
      </c>
      <c r="K12" s="126"/>
      <c r="L12" s="139"/>
    </row>
    <row r="13" spans="2:29" s="149" customFormat="1" x14ac:dyDescent="0.2">
      <c r="B13" s="151">
        <v>2010</v>
      </c>
      <c r="C13" s="86">
        <v>342015.0956704634</v>
      </c>
      <c r="D13" s="86">
        <v>84176.777030159574</v>
      </c>
      <c r="E13" s="86">
        <v>65326.613197613144</v>
      </c>
      <c r="F13" s="86">
        <v>60029.943650430403</v>
      </c>
      <c r="G13" s="86">
        <v>437302.76812739845</v>
      </c>
      <c r="H13" s="86">
        <v>260786.28075843124</v>
      </c>
      <c r="I13" s="86">
        <v>180845.549821931</v>
      </c>
      <c r="K13" s="126"/>
      <c r="L13" s="139"/>
    </row>
    <row r="14" spans="2:29" x14ac:dyDescent="0.2">
      <c r="B14" s="151">
        <v>2011</v>
      </c>
      <c r="C14" s="27">
        <v>347401.98614643887</v>
      </c>
      <c r="D14" s="27">
        <v>85042.622665290546</v>
      </c>
      <c r="E14" s="27">
        <v>66308.577780022533</v>
      </c>
      <c r="F14" s="27">
        <v>61010.621394183901</v>
      </c>
      <c r="G14" s="27">
        <v>446426.61374578864</v>
      </c>
      <c r="H14" s="27">
        <v>265443.61957907653</v>
      </c>
      <c r="I14" s="27">
        <v>185424.68458577301</v>
      </c>
      <c r="K14" s="126"/>
      <c r="L14" s="139"/>
    </row>
    <row r="15" spans="2:29" s="175" customFormat="1" x14ac:dyDescent="0.2">
      <c r="B15" s="176">
        <v>2012</v>
      </c>
      <c r="C15" s="27">
        <v>353200.69544202962</v>
      </c>
      <c r="D15" s="27">
        <v>85327.664985322379</v>
      </c>
      <c r="E15" s="27">
        <v>66737.747882109878</v>
      </c>
      <c r="F15" s="27">
        <v>61469.441253211298</v>
      </c>
      <c r="G15" s="27">
        <v>461131.14600024099</v>
      </c>
      <c r="H15" s="27">
        <v>277894.91006491397</v>
      </c>
      <c r="I15" s="27">
        <v>197297.47018056299</v>
      </c>
      <c r="J15" s="181"/>
      <c r="K15" s="181"/>
      <c r="L15" s="139"/>
    </row>
    <row r="16" spans="2:29" s="217" customFormat="1" x14ac:dyDescent="0.2">
      <c r="B16" s="218">
        <v>2013</v>
      </c>
      <c r="C16" s="27">
        <v>358593.07773764897</v>
      </c>
      <c r="D16" s="27">
        <v>85464.787124492097</v>
      </c>
      <c r="E16" s="27">
        <v>67072.955468604196</v>
      </c>
      <c r="F16" s="27">
        <v>61834.868152404299</v>
      </c>
      <c r="G16" s="27">
        <v>470618.54986405501</v>
      </c>
      <c r="H16" s="27">
        <v>285923.25779312302</v>
      </c>
      <c r="I16" s="27">
        <v>205890.186376581</v>
      </c>
      <c r="J16" s="181"/>
      <c r="K16" s="181"/>
      <c r="L16" s="139"/>
    </row>
    <row r="17" spans="2:12" s="175" customFormat="1" x14ac:dyDescent="0.2">
      <c r="B17" s="219"/>
      <c r="C17" s="178"/>
      <c r="D17" s="178"/>
      <c r="E17" s="178"/>
      <c r="F17" s="178"/>
      <c r="G17" s="178"/>
      <c r="H17" s="178"/>
      <c r="I17" s="178"/>
      <c r="K17" s="126"/>
      <c r="L17" s="139"/>
    </row>
    <row r="18" spans="2:12" x14ac:dyDescent="0.2">
      <c r="B18" s="235" t="s">
        <v>29</v>
      </c>
      <c r="C18" s="236"/>
      <c r="D18" s="236"/>
      <c r="E18" s="236"/>
      <c r="F18" s="236"/>
      <c r="G18" s="236"/>
      <c r="H18" s="236"/>
      <c r="I18" s="237"/>
    </row>
    <row r="19" spans="2:12" x14ac:dyDescent="0.2">
      <c r="B19" s="32">
        <v>2001</v>
      </c>
      <c r="C19" s="34">
        <v>100</v>
      </c>
      <c r="D19" s="34">
        <v>100</v>
      </c>
      <c r="E19" s="34">
        <v>100</v>
      </c>
      <c r="F19" s="34">
        <v>100</v>
      </c>
      <c r="G19" s="34">
        <v>100</v>
      </c>
      <c r="H19" s="34">
        <v>100</v>
      </c>
      <c r="I19" s="34">
        <v>100</v>
      </c>
    </row>
    <row r="20" spans="2:12" s="149" customFormat="1" x14ac:dyDescent="0.2">
      <c r="B20" s="151">
        <v>2002</v>
      </c>
      <c r="C20" s="34">
        <f t="shared" ref="C20:C31" si="0">C5/$C$4*100</f>
        <v>101.54142641691483</v>
      </c>
      <c r="D20" s="34">
        <f t="shared" ref="D20:D31" si="1">D5/$D$4*100</f>
        <v>100.46193553791963</v>
      </c>
      <c r="E20" s="34">
        <f t="shared" ref="E20:E31" si="2">E5/$E$4*100</f>
        <v>100.22669440036466</v>
      </c>
      <c r="F20" s="87">
        <f t="shared" ref="F20:F31" si="3">F5/$F$4*100</f>
        <v>100.23529005360831</v>
      </c>
      <c r="G20" s="87">
        <f t="shared" ref="G20:G31" si="4">G5/$G$4*100</f>
        <v>100.79917226140091</v>
      </c>
      <c r="H20" s="87">
        <f t="shared" ref="H20:H31" si="5">H5/$H$4*100</f>
        <v>98.401475387923171</v>
      </c>
      <c r="I20" s="87">
        <f t="shared" ref="I20:I31" si="6">I5/$I$4*100</f>
        <v>96.511585245001015</v>
      </c>
    </row>
    <row r="21" spans="2:12" s="45" customFormat="1" x14ac:dyDescent="0.2">
      <c r="B21" s="151">
        <v>2003</v>
      </c>
      <c r="C21" s="34">
        <f t="shared" si="0"/>
        <v>103.33672755559809</v>
      </c>
      <c r="D21" s="34">
        <f t="shared" si="1"/>
        <v>99.15523601315725</v>
      </c>
      <c r="E21" s="34">
        <f t="shared" si="2"/>
        <v>99.588833608842776</v>
      </c>
      <c r="F21" s="87">
        <f t="shared" si="3"/>
        <v>100.0054432568793</v>
      </c>
      <c r="G21" s="87">
        <f t="shared" si="4"/>
        <v>102.66467680403071</v>
      </c>
      <c r="H21" s="87">
        <f t="shared" si="5"/>
        <v>101.06901681296262</v>
      </c>
      <c r="I21" s="87">
        <f t="shared" si="6"/>
        <v>100.27897830546846</v>
      </c>
    </row>
    <row r="22" spans="2:12" s="150" customFormat="1" x14ac:dyDescent="0.2">
      <c r="B22" s="151">
        <v>2004</v>
      </c>
      <c r="C22" s="34">
        <f t="shared" si="0"/>
        <v>104.97780826619727</v>
      </c>
      <c r="D22" s="34">
        <f t="shared" si="1"/>
        <v>99.590246448644066</v>
      </c>
      <c r="E22" s="34">
        <f t="shared" si="2"/>
        <v>100.08443790418104</v>
      </c>
      <c r="F22" s="87">
        <f t="shared" si="3"/>
        <v>100.24604369781377</v>
      </c>
      <c r="G22" s="87">
        <f t="shared" si="4"/>
        <v>103.29463421647918</v>
      </c>
      <c r="H22" s="87">
        <f t="shared" si="5"/>
        <v>100.17099139101316</v>
      </c>
      <c r="I22" s="87">
        <f t="shared" si="6"/>
        <v>99.753842254771925</v>
      </c>
    </row>
    <row r="23" spans="2:12" x14ac:dyDescent="0.2">
      <c r="B23" s="151">
        <v>2005</v>
      </c>
      <c r="C23" s="34">
        <f t="shared" si="0"/>
        <v>106.50311809206954</v>
      </c>
      <c r="D23" s="34">
        <f t="shared" si="1"/>
        <v>100.49813813031517</v>
      </c>
      <c r="E23" s="34">
        <f t="shared" si="2"/>
        <v>100.72620114621465</v>
      </c>
      <c r="F23" s="87">
        <f t="shared" si="3"/>
        <v>101.02005403753319</v>
      </c>
      <c r="G23" s="87">
        <f t="shared" si="4"/>
        <v>106.87521376861974</v>
      </c>
      <c r="H23" s="87">
        <f t="shared" si="5"/>
        <v>103.91760431521358</v>
      </c>
      <c r="I23" s="87">
        <f t="shared" si="6"/>
        <v>105.61387949254232</v>
      </c>
    </row>
    <row r="24" spans="2:12" s="149" customFormat="1" x14ac:dyDescent="0.2">
      <c r="B24" s="151">
        <v>2006</v>
      </c>
      <c r="C24" s="34">
        <f t="shared" si="0"/>
        <v>107.99648440109466</v>
      </c>
      <c r="D24" s="34">
        <f t="shared" si="1"/>
        <v>101.67898421058928</v>
      </c>
      <c r="E24" s="34">
        <f t="shared" si="2"/>
        <v>101.90241516560845</v>
      </c>
      <c r="F24" s="87">
        <f t="shared" si="3"/>
        <v>102.32833038869495</v>
      </c>
      <c r="G24" s="87">
        <f t="shared" si="4"/>
        <v>109.32941586573186</v>
      </c>
      <c r="H24" s="87">
        <f t="shared" si="5"/>
        <v>106.59011082300975</v>
      </c>
      <c r="I24" s="87">
        <f t="shared" si="6"/>
        <v>109.53036567723335</v>
      </c>
    </row>
    <row r="25" spans="2:12" x14ac:dyDescent="0.2">
      <c r="B25" s="151">
        <v>2007</v>
      </c>
      <c r="C25" s="34">
        <f t="shared" si="0"/>
        <v>109.59953165494456</v>
      </c>
      <c r="D25" s="34">
        <f t="shared" si="1"/>
        <v>105.26709586708189</v>
      </c>
      <c r="E25" s="34">
        <f t="shared" si="2"/>
        <v>105.17279998017371</v>
      </c>
      <c r="F25" s="87">
        <f t="shared" si="3"/>
        <v>103.44125496016947</v>
      </c>
      <c r="G25" s="87">
        <f t="shared" si="4"/>
        <v>109.54570436802351</v>
      </c>
      <c r="H25" s="87">
        <f t="shared" si="5"/>
        <v>106.61726614556784</v>
      </c>
      <c r="I25" s="87">
        <f t="shared" si="6"/>
        <v>109.69583757127144</v>
      </c>
    </row>
    <row r="26" spans="2:12" s="149" customFormat="1" x14ac:dyDescent="0.2">
      <c r="B26" s="151">
        <v>2008</v>
      </c>
      <c r="C26" s="34">
        <f t="shared" si="0"/>
        <v>111.14945790770585</v>
      </c>
      <c r="D26" s="34">
        <f t="shared" si="1"/>
        <v>107.33896447442707</v>
      </c>
      <c r="E26" s="34">
        <f t="shared" si="2"/>
        <v>107.41214646631603</v>
      </c>
      <c r="F26" s="87">
        <f t="shared" si="3"/>
        <v>105.86529810241045</v>
      </c>
      <c r="G26" s="87">
        <f t="shared" si="4"/>
        <v>104.00681182645977</v>
      </c>
      <c r="H26" s="87">
        <f t="shared" si="5"/>
        <v>97.530875255363014</v>
      </c>
      <c r="I26" s="87">
        <f t="shared" si="6"/>
        <v>97.180838981481045</v>
      </c>
    </row>
    <row r="27" spans="2:12" x14ac:dyDescent="0.2">
      <c r="B27" s="151">
        <v>2009</v>
      </c>
      <c r="C27" s="34">
        <f t="shared" si="0"/>
        <v>113.122915160912</v>
      </c>
      <c r="D27" s="34">
        <f t="shared" si="1"/>
        <v>107.67996816945961</v>
      </c>
      <c r="E27" s="34">
        <f t="shared" si="2"/>
        <v>108.30661777182267</v>
      </c>
      <c r="F27" s="87">
        <f t="shared" si="3"/>
        <v>106.78500180454191</v>
      </c>
      <c r="G27" s="87">
        <f t="shared" si="4"/>
        <v>108.06422853125505</v>
      </c>
      <c r="H27" s="87">
        <f t="shared" si="5"/>
        <v>102.11810897321448</v>
      </c>
      <c r="I27" s="87">
        <f t="shared" si="6"/>
        <v>103.63053292149165</v>
      </c>
    </row>
    <row r="28" spans="2:12" s="149" customFormat="1" x14ac:dyDescent="0.2">
      <c r="B28" s="151">
        <v>2010</v>
      </c>
      <c r="C28" s="34">
        <f t="shared" si="0"/>
        <v>115.14416520782009</v>
      </c>
      <c r="D28" s="34">
        <f t="shared" si="1"/>
        <v>108.05079412490639</v>
      </c>
      <c r="E28" s="34">
        <f t="shared" si="2"/>
        <v>109.36530664430208</v>
      </c>
      <c r="F28" s="87">
        <f t="shared" si="3"/>
        <v>107.77562191499021</v>
      </c>
      <c r="G28" s="87">
        <f t="shared" si="4"/>
        <v>108.68475299669539</v>
      </c>
      <c r="H28" s="87">
        <f t="shared" si="5"/>
        <v>102.0358526102922</v>
      </c>
      <c r="I28" s="87">
        <f t="shared" si="6"/>
        <v>103.16581657421217</v>
      </c>
    </row>
    <row r="29" spans="2:12" x14ac:dyDescent="0.2">
      <c r="B29" s="151">
        <v>2011</v>
      </c>
      <c r="C29" s="34">
        <f t="shared" si="0"/>
        <v>116.95773722488624</v>
      </c>
      <c r="D29" s="34">
        <f t="shared" si="1"/>
        <v>109.16220883768359</v>
      </c>
      <c r="E29" s="34">
        <f t="shared" si="2"/>
        <v>111.00924396804155</v>
      </c>
      <c r="F29" s="87">
        <f t="shared" si="3"/>
        <v>109.53629579379145</v>
      </c>
      <c r="G29" s="87">
        <f t="shared" si="4"/>
        <v>110.95234190691659</v>
      </c>
      <c r="H29" s="87">
        <f t="shared" si="5"/>
        <v>103.85809393402101</v>
      </c>
      <c r="I29" s="87">
        <f t="shared" si="6"/>
        <v>105.77804661017535</v>
      </c>
    </row>
    <row r="30" spans="2:12" s="175" customFormat="1" x14ac:dyDescent="0.2">
      <c r="B30" s="176">
        <v>2012</v>
      </c>
      <c r="C30" s="34">
        <f t="shared" si="0"/>
        <v>118.90995380706586</v>
      </c>
      <c r="D30" s="34">
        <f t="shared" si="1"/>
        <v>109.52809418189926</v>
      </c>
      <c r="E30" s="34">
        <f t="shared" si="2"/>
        <v>111.72773092947894</v>
      </c>
      <c r="F30" s="87">
        <f t="shared" si="3"/>
        <v>110.36004462057004</v>
      </c>
      <c r="G30" s="87">
        <f t="shared" si="4"/>
        <v>114.60692306324145</v>
      </c>
      <c r="H30" s="87">
        <f t="shared" si="5"/>
        <v>108.72981508869977</v>
      </c>
      <c r="I30" s="87">
        <f t="shared" si="6"/>
        <v>112.5510394878166</v>
      </c>
    </row>
    <row r="31" spans="2:12" s="217" customFormat="1" x14ac:dyDescent="0.2">
      <c r="B31" s="218">
        <v>2013</v>
      </c>
      <c r="C31" s="34">
        <f t="shared" si="0"/>
        <v>120.72537472202092</v>
      </c>
      <c r="D31" s="34">
        <f t="shared" si="1"/>
        <v>109.70410657572238</v>
      </c>
      <c r="E31" s="34">
        <f t="shared" si="2"/>
        <v>112.28891233307552</v>
      </c>
      <c r="F31" s="87">
        <f t="shared" si="3"/>
        <v>111.01611905492791</v>
      </c>
      <c r="G31" s="87">
        <f t="shared" si="4"/>
        <v>116.96486868049428</v>
      </c>
      <c r="H31" s="87">
        <f t="shared" si="5"/>
        <v>111.87100527369466</v>
      </c>
      <c r="I31" s="87">
        <f t="shared" si="6"/>
        <v>117.45287192895502</v>
      </c>
    </row>
    <row r="33" spans="2:20" x14ac:dyDescent="0.2">
      <c r="B33" s="88" t="s">
        <v>33</v>
      </c>
    </row>
    <row r="34" spans="2:20" x14ac:dyDescent="0.2">
      <c r="B34" s="88" t="s">
        <v>595</v>
      </c>
    </row>
    <row r="35" spans="2:20" s="200" customFormat="1" x14ac:dyDescent="0.2">
      <c r="B35" s="201" t="s">
        <v>594</v>
      </c>
    </row>
    <row r="36" spans="2:20" s="200" customFormat="1" x14ac:dyDescent="0.2">
      <c r="B36" s="201" t="s">
        <v>596</v>
      </c>
    </row>
    <row r="37" spans="2:20" x14ac:dyDescent="0.2">
      <c r="B37" s="88" t="s">
        <v>597</v>
      </c>
    </row>
    <row r="38" spans="2:20" x14ac:dyDescent="0.2">
      <c r="B38" s="201" t="s">
        <v>598</v>
      </c>
    </row>
    <row r="39" spans="2:20" s="200" customFormat="1" x14ac:dyDescent="0.2">
      <c r="B39" s="201" t="s">
        <v>599</v>
      </c>
    </row>
    <row r="43" spans="2:20" x14ac:dyDescent="0.2">
      <c r="P43" s="154"/>
    </row>
    <row r="45" spans="2:20" ht="22.5" x14ac:dyDescent="0.2">
      <c r="P45" s="172" t="s">
        <v>10</v>
      </c>
      <c r="Q45" s="173" t="s">
        <v>30</v>
      </c>
      <c r="R45" s="174" t="s">
        <v>31</v>
      </c>
      <c r="S45" s="173" t="s">
        <v>32</v>
      </c>
      <c r="T45" s="174" t="s">
        <v>494</v>
      </c>
    </row>
    <row r="46" spans="2:20" x14ac:dyDescent="0.2">
      <c r="O46" s="171">
        <v>2001</v>
      </c>
      <c r="P46" s="192">
        <f t="shared" ref="P46:P57" si="7">C19</f>
        <v>100</v>
      </c>
      <c r="Q46" s="192">
        <f t="shared" ref="Q46:Q57" si="8">E19</f>
        <v>100</v>
      </c>
      <c r="R46" s="192">
        <f t="shared" ref="R46:R57" si="9">F19</f>
        <v>100</v>
      </c>
      <c r="S46" s="192">
        <f t="shared" ref="S46:S57" si="10">H19</f>
        <v>100</v>
      </c>
      <c r="T46" s="192">
        <f t="shared" ref="T46:T57" si="11">I19</f>
        <v>100</v>
      </c>
    </row>
    <row r="47" spans="2:20" x14ac:dyDescent="0.2">
      <c r="O47" s="171">
        <v>2002</v>
      </c>
      <c r="P47" s="192">
        <f t="shared" si="7"/>
        <v>101.54142641691483</v>
      </c>
      <c r="Q47" s="192">
        <f t="shared" si="8"/>
        <v>100.22669440036466</v>
      </c>
      <c r="R47" s="192">
        <f t="shared" si="9"/>
        <v>100.23529005360831</v>
      </c>
      <c r="S47" s="192">
        <f t="shared" si="10"/>
        <v>98.401475387923171</v>
      </c>
      <c r="T47" s="192">
        <f t="shared" si="11"/>
        <v>96.511585245001015</v>
      </c>
    </row>
    <row r="48" spans="2:20" x14ac:dyDescent="0.2">
      <c r="O48" s="171">
        <v>2003</v>
      </c>
      <c r="P48" s="192">
        <f t="shared" si="7"/>
        <v>103.33672755559809</v>
      </c>
      <c r="Q48" s="192">
        <f t="shared" si="8"/>
        <v>99.588833608842776</v>
      </c>
      <c r="R48" s="192">
        <f t="shared" si="9"/>
        <v>100.0054432568793</v>
      </c>
      <c r="S48" s="192">
        <f t="shared" si="10"/>
        <v>101.06901681296262</v>
      </c>
      <c r="T48" s="192">
        <f t="shared" si="11"/>
        <v>100.27897830546846</v>
      </c>
    </row>
    <row r="49" spans="2:20" x14ac:dyDescent="0.2">
      <c r="O49" s="171">
        <v>2004</v>
      </c>
      <c r="P49" s="192">
        <f t="shared" si="7"/>
        <v>104.97780826619727</v>
      </c>
      <c r="Q49" s="192">
        <f t="shared" si="8"/>
        <v>100.08443790418104</v>
      </c>
      <c r="R49" s="192">
        <f t="shared" si="9"/>
        <v>100.24604369781377</v>
      </c>
      <c r="S49" s="192">
        <f t="shared" si="10"/>
        <v>100.17099139101316</v>
      </c>
      <c r="T49" s="192">
        <f t="shared" si="11"/>
        <v>99.753842254771925</v>
      </c>
    </row>
    <row r="50" spans="2:20" x14ac:dyDescent="0.2">
      <c r="O50" s="171">
        <v>2005</v>
      </c>
      <c r="P50" s="192">
        <f t="shared" si="7"/>
        <v>106.50311809206954</v>
      </c>
      <c r="Q50" s="192">
        <f t="shared" si="8"/>
        <v>100.72620114621465</v>
      </c>
      <c r="R50" s="192">
        <f t="shared" si="9"/>
        <v>101.02005403753319</v>
      </c>
      <c r="S50" s="192">
        <f t="shared" si="10"/>
        <v>103.91760431521358</v>
      </c>
      <c r="T50" s="192">
        <f t="shared" si="11"/>
        <v>105.61387949254232</v>
      </c>
    </row>
    <row r="51" spans="2:20" x14ac:dyDescent="0.2">
      <c r="O51" s="171">
        <v>2006</v>
      </c>
      <c r="P51" s="192">
        <f t="shared" si="7"/>
        <v>107.99648440109466</v>
      </c>
      <c r="Q51" s="192">
        <f t="shared" si="8"/>
        <v>101.90241516560845</v>
      </c>
      <c r="R51" s="192">
        <f t="shared" si="9"/>
        <v>102.32833038869495</v>
      </c>
      <c r="S51" s="192">
        <f t="shared" si="10"/>
        <v>106.59011082300975</v>
      </c>
      <c r="T51" s="192">
        <f t="shared" si="11"/>
        <v>109.53036567723335</v>
      </c>
    </row>
    <row r="52" spans="2:20" x14ac:dyDescent="0.2">
      <c r="O52" s="171">
        <v>2007</v>
      </c>
      <c r="P52" s="192">
        <f t="shared" si="7"/>
        <v>109.59953165494456</v>
      </c>
      <c r="Q52" s="192">
        <f t="shared" si="8"/>
        <v>105.17279998017371</v>
      </c>
      <c r="R52" s="192">
        <f t="shared" si="9"/>
        <v>103.44125496016947</v>
      </c>
      <c r="S52" s="192">
        <f t="shared" si="10"/>
        <v>106.61726614556784</v>
      </c>
      <c r="T52" s="192">
        <f t="shared" si="11"/>
        <v>109.69583757127144</v>
      </c>
    </row>
    <row r="53" spans="2:20" x14ac:dyDescent="0.2">
      <c r="O53" s="171">
        <v>2008</v>
      </c>
      <c r="P53" s="192">
        <f t="shared" si="7"/>
        <v>111.14945790770585</v>
      </c>
      <c r="Q53" s="192">
        <f t="shared" si="8"/>
        <v>107.41214646631603</v>
      </c>
      <c r="R53" s="192">
        <f t="shared" si="9"/>
        <v>105.86529810241045</v>
      </c>
      <c r="S53" s="192">
        <f t="shared" si="10"/>
        <v>97.530875255363014</v>
      </c>
      <c r="T53" s="192">
        <f t="shared" si="11"/>
        <v>97.180838981481045</v>
      </c>
    </row>
    <row r="54" spans="2:20" x14ac:dyDescent="0.2">
      <c r="O54" s="171">
        <v>2009</v>
      </c>
      <c r="P54" s="192">
        <f t="shared" si="7"/>
        <v>113.122915160912</v>
      </c>
      <c r="Q54" s="192">
        <f t="shared" si="8"/>
        <v>108.30661777182267</v>
      </c>
      <c r="R54" s="192">
        <f t="shared" si="9"/>
        <v>106.78500180454191</v>
      </c>
      <c r="S54" s="192">
        <f t="shared" si="10"/>
        <v>102.11810897321448</v>
      </c>
      <c r="T54" s="192">
        <f t="shared" si="11"/>
        <v>103.63053292149165</v>
      </c>
    </row>
    <row r="55" spans="2:20" x14ac:dyDescent="0.2">
      <c r="O55" s="171">
        <v>2010</v>
      </c>
      <c r="P55" s="192">
        <f t="shared" si="7"/>
        <v>115.14416520782009</v>
      </c>
      <c r="Q55" s="192">
        <f t="shared" si="8"/>
        <v>109.36530664430208</v>
      </c>
      <c r="R55" s="192">
        <f t="shared" si="9"/>
        <v>107.77562191499021</v>
      </c>
      <c r="S55" s="192">
        <f t="shared" si="10"/>
        <v>102.0358526102922</v>
      </c>
      <c r="T55" s="192">
        <f t="shared" si="11"/>
        <v>103.16581657421217</v>
      </c>
    </row>
    <row r="56" spans="2:20" x14ac:dyDescent="0.2">
      <c r="B56" s="8"/>
      <c r="C56" s="8"/>
      <c r="D56" s="8"/>
      <c r="E56" s="9"/>
      <c r="O56" s="171">
        <v>2011</v>
      </c>
      <c r="P56" s="192">
        <f t="shared" si="7"/>
        <v>116.95773722488624</v>
      </c>
      <c r="Q56" s="192">
        <f t="shared" si="8"/>
        <v>111.00924396804155</v>
      </c>
      <c r="R56" s="192">
        <f t="shared" si="9"/>
        <v>109.53629579379145</v>
      </c>
      <c r="S56" s="192">
        <f t="shared" si="10"/>
        <v>103.85809393402101</v>
      </c>
      <c r="T56" s="192">
        <f t="shared" si="11"/>
        <v>105.77804661017535</v>
      </c>
    </row>
    <row r="57" spans="2:20" x14ac:dyDescent="0.2">
      <c r="O57" s="171">
        <v>2012</v>
      </c>
      <c r="P57" s="192">
        <f t="shared" si="7"/>
        <v>118.90995380706586</v>
      </c>
      <c r="Q57" s="192">
        <f t="shared" si="8"/>
        <v>111.72773092947894</v>
      </c>
      <c r="R57" s="192">
        <f t="shared" si="9"/>
        <v>110.36004462057004</v>
      </c>
      <c r="S57" s="192">
        <f t="shared" si="10"/>
        <v>108.72981508869977</v>
      </c>
      <c r="T57" s="192">
        <f t="shared" si="11"/>
        <v>112.5510394878166</v>
      </c>
    </row>
    <row r="58" spans="2:20" x14ac:dyDescent="0.2">
      <c r="O58" s="171">
        <v>2013</v>
      </c>
      <c r="P58" s="192">
        <f t="shared" ref="P58" si="12">C31</f>
        <v>120.72537472202092</v>
      </c>
      <c r="Q58" s="192">
        <f t="shared" ref="Q58" si="13">E31</f>
        <v>112.28891233307552</v>
      </c>
      <c r="R58" s="192">
        <f t="shared" ref="R58" si="14">F31</f>
        <v>111.01611905492791</v>
      </c>
      <c r="S58" s="192">
        <f t="shared" ref="S58" si="15">H31</f>
        <v>111.87100527369466</v>
      </c>
      <c r="T58" s="192">
        <f t="shared" ref="T58" si="16">I31</f>
        <v>117.45287192895502</v>
      </c>
    </row>
  </sheetData>
  <mergeCells count="1">
    <mergeCell ref="B18:I18"/>
  </mergeCells>
  <phoneticPr fontId="3" type="noConversion"/>
  <pageMargins left="0.78740157480314965" right="0.78740157480314965" top="0.98425196850393704" bottom="0.98425196850393704" header="0.51181102362204722" footer="0.51181102362204722"/>
  <pageSetup paperSize="9" fitToHeight="0" orientation="landscape" r:id="rId1"/>
  <headerFooter alignWithMargins="0"/>
  <rowBreaks count="1" manualBreakCount="1">
    <brk id="34" max="9" man="1"/>
  </row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97E"/>
    <pageSetUpPr fitToPage="1"/>
  </sheetPr>
  <dimension ref="B1:AF20"/>
  <sheetViews>
    <sheetView view="pageBreakPreview" zoomScaleNormal="100" zoomScaleSheetLayoutView="100" zoomScalePageLayoutView="70" workbookViewId="0"/>
  </sheetViews>
  <sheetFormatPr baseColWidth="10" defaultRowHeight="12.75" x14ac:dyDescent="0.2"/>
  <cols>
    <col min="1" max="1" width="2" style="164" customWidth="1"/>
    <col min="2" max="2" width="16.28515625" style="164" customWidth="1"/>
    <col min="3" max="14" width="10.7109375" style="164" customWidth="1"/>
    <col min="15" max="16384" width="11.42578125" style="164"/>
  </cols>
  <sheetData>
    <row r="1" spans="2:32" s="11" customFormat="1" ht="15.75" x14ac:dyDescent="0.2">
      <c r="B1" s="213" t="str">
        <f>Inhaltsverzeichnis!B43&amp;" "&amp;Inhaltsverzeichnis!C43&amp;" "&amp;Inhaltsverzeichnis!E43</f>
        <v>Tabelle  15a: Verteilung der Pflichtigen (unter 65 Jahren) und des Reineinkommens nach Verdienerzahl und Stufen des Reineinkommens, 2013</v>
      </c>
      <c r="C1" s="214"/>
      <c r="D1" s="214"/>
      <c r="E1" s="214"/>
      <c r="F1" s="214"/>
      <c r="G1" s="214"/>
      <c r="H1" s="214"/>
      <c r="I1" s="214"/>
      <c r="J1" s="214"/>
      <c r="K1" s="214"/>
      <c r="L1" s="214"/>
      <c r="M1" s="214"/>
      <c r="N1" s="214"/>
      <c r="O1" s="214"/>
      <c r="P1" s="214"/>
      <c r="Q1" s="214"/>
      <c r="R1" s="214"/>
      <c r="S1" s="214"/>
      <c r="T1" s="163"/>
      <c r="U1" s="163"/>
      <c r="V1" s="163"/>
      <c r="W1" s="163"/>
      <c r="X1" s="163"/>
      <c r="Y1" s="163"/>
      <c r="Z1" s="163"/>
      <c r="AA1" s="163"/>
      <c r="AB1" s="163"/>
      <c r="AC1" s="163"/>
      <c r="AD1" s="163"/>
      <c r="AE1" s="163"/>
      <c r="AF1" s="163"/>
    </row>
    <row r="3" spans="2:32" x14ac:dyDescent="0.2">
      <c r="B3" s="248" t="s">
        <v>571</v>
      </c>
      <c r="C3" s="293" t="s">
        <v>113</v>
      </c>
      <c r="D3" s="294"/>
      <c r="E3" s="275" t="s">
        <v>534</v>
      </c>
      <c r="F3" s="284"/>
      <c r="G3" s="284"/>
      <c r="H3" s="283"/>
      <c r="I3" s="275" t="s">
        <v>535</v>
      </c>
      <c r="J3" s="284"/>
      <c r="K3" s="284"/>
      <c r="L3" s="283"/>
      <c r="M3" s="293" t="s">
        <v>0</v>
      </c>
      <c r="N3" s="294"/>
    </row>
    <row r="4" spans="2:32" s="165" customFormat="1" ht="27" customHeight="1" x14ac:dyDescent="0.2">
      <c r="B4" s="279"/>
      <c r="C4" s="295"/>
      <c r="D4" s="296"/>
      <c r="E4" s="290" t="s">
        <v>102</v>
      </c>
      <c r="F4" s="287"/>
      <c r="G4" s="290" t="s">
        <v>103</v>
      </c>
      <c r="H4" s="287"/>
      <c r="I4" s="290" t="s">
        <v>102</v>
      </c>
      <c r="J4" s="287"/>
      <c r="K4" s="290" t="s">
        <v>103</v>
      </c>
      <c r="L4" s="287"/>
      <c r="M4" s="295"/>
      <c r="N4" s="296"/>
    </row>
    <row r="5" spans="2:32" ht="25.5" x14ac:dyDescent="0.2">
      <c r="B5" s="269"/>
      <c r="C5" s="196" t="s">
        <v>441</v>
      </c>
      <c r="D5" s="204" t="s">
        <v>532</v>
      </c>
      <c r="E5" s="196" t="s">
        <v>441</v>
      </c>
      <c r="F5" s="204" t="s">
        <v>532</v>
      </c>
      <c r="G5" s="196" t="s">
        <v>441</v>
      </c>
      <c r="H5" s="204" t="s">
        <v>532</v>
      </c>
      <c r="I5" s="196" t="s">
        <v>441</v>
      </c>
      <c r="J5" s="204" t="s">
        <v>532</v>
      </c>
      <c r="K5" s="196" t="s">
        <v>441</v>
      </c>
      <c r="L5" s="204" t="s">
        <v>532</v>
      </c>
      <c r="M5" s="196" t="s">
        <v>441</v>
      </c>
      <c r="N5" s="204" t="s">
        <v>532</v>
      </c>
    </row>
    <row r="6" spans="2:32" x14ac:dyDescent="0.2">
      <c r="B6" s="25">
        <v>0</v>
      </c>
      <c r="C6" s="27">
        <v>12192.726605764305</v>
      </c>
      <c r="D6" s="33">
        <v>0</v>
      </c>
      <c r="E6" s="27">
        <v>201.46851787811545</v>
      </c>
      <c r="F6" s="33">
        <v>0</v>
      </c>
      <c r="G6" s="27">
        <v>193.16612537421057</v>
      </c>
      <c r="H6" s="33">
        <v>0</v>
      </c>
      <c r="I6" s="27">
        <v>141.00318425723702</v>
      </c>
      <c r="J6" s="33">
        <v>0</v>
      </c>
      <c r="K6" s="27">
        <v>205.04073119723131</v>
      </c>
      <c r="L6" s="27">
        <v>0</v>
      </c>
      <c r="M6" s="27">
        <f>C6+E6+G6+I6+K6</f>
        <v>12933.4051644711</v>
      </c>
      <c r="N6" s="27">
        <f>D6+F6+H6+J6+L6</f>
        <v>0</v>
      </c>
    </row>
    <row r="7" spans="2:32" x14ac:dyDescent="0.2">
      <c r="B7" s="25" t="s">
        <v>38</v>
      </c>
      <c r="C7" s="27">
        <v>18698.710497389075</v>
      </c>
      <c r="D7" s="33">
        <v>91611.117746100266</v>
      </c>
      <c r="E7" s="27">
        <v>223.34758078289747</v>
      </c>
      <c r="F7" s="33">
        <v>1116.9383036659394</v>
      </c>
      <c r="G7" s="27">
        <v>104.45135078962186</v>
      </c>
      <c r="H7" s="33">
        <v>529.95168683212194</v>
      </c>
      <c r="I7" s="27">
        <v>115.06222305425312</v>
      </c>
      <c r="J7" s="33">
        <v>578.92513096537346</v>
      </c>
      <c r="K7" s="27">
        <v>98.493392720215368</v>
      </c>
      <c r="L7" s="27">
        <v>556.10344241494352</v>
      </c>
      <c r="M7" s="27">
        <f t="shared" ref="M7:M17" si="0">C7+E7+G7+I7+K7</f>
        <v>19240.065044736064</v>
      </c>
      <c r="N7" s="27">
        <f t="shared" ref="N7:N17" si="1">D7+F7+H7+J7+L7</f>
        <v>94393.036309978648</v>
      </c>
    </row>
    <row r="8" spans="2:32" x14ac:dyDescent="0.2">
      <c r="B8" s="25" t="s">
        <v>39</v>
      </c>
      <c r="C8" s="27">
        <v>14347.505720903479</v>
      </c>
      <c r="D8" s="33">
        <v>217039.42523406964</v>
      </c>
      <c r="E8" s="27">
        <v>317.73811774560846</v>
      </c>
      <c r="F8" s="33">
        <v>4807.4247958286505</v>
      </c>
      <c r="G8" s="27">
        <v>127.26746783940713</v>
      </c>
      <c r="H8" s="33">
        <v>1975.8443238894752</v>
      </c>
      <c r="I8" s="27">
        <v>155.74105952083758</v>
      </c>
      <c r="J8" s="33">
        <v>2388.5073900962238</v>
      </c>
      <c r="K8" s="27">
        <v>156.24739603790817</v>
      </c>
      <c r="L8" s="27">
        <v>2307.5890497129117</v>
      </c>
      <c r="M8" s="27">
        <f t="shared" si="0"/>
        <v>15104.49976204724</v>
      </c>
      <c r="N8" s="27">
        <f t="shared" si="1"/>
        <v>228518.79079359688</v>
      </c>
    </row>
    <row r="9" spans="2:32" x14ac:dyDescent="0.2">
      <c r="B9" s="25" t="s">
        <v>40</v>
      </c>
      <c r="C9" s="27">
        <v>16341.078480730888</v>
      </c>
      <c r="D9" s="33">
        <v>410450.15262562025</v>
      </c>
      <c r="E9" s="27">
        <v>434.79911003646066</v>
      </c>
      <c r="F9" s="33">
        <v>10954.16250335483</v>
      </c>
      <c r="G9" s="27">
        <v>220.86591687770445</v>
      </c>
      <c r="H9" s="33">
        <v>5661.2673206440577</v>
      </c>
      <c r="I9" s="27">
        <v>296.79038404358545</v>
      </c>
      <c r="J9" s="33">
        <v>7534.1334843238183</v>
      </c>
      <c r="K9" s="27">
        <v>230.2325006905767</v>
      </c>
      <c r="L9" s="27">
        <v>5891.915014761692</v>
      </c>
      <c r="M9" s="27">
        <f t="shared" si="0"/>
        <v>17523.766392379217</v>
      </c>
      <c r="N9" s="27">
        <f t="shared" si="1"/>
        <v>440491.63094870461</v>
      </c>
    </row>
    <row r="10" spans="2:32" x14ac:dyDescent="0.2">
      <c r="B10" s="25" t="s">
        <v>41</v>
      </c>
      <c r="C10" s="27">
        <v>51768.378172314529</v>
      </c>
      <c r="D10" s="33">
        <v>2109781.3775939075</v>
      </c>
      <c r="E10" s="27">
        <v>1736.4402069604591</v>
      </c>
      <c r="F10" s="33">
        <v>72161.503827486056</v>
      </c>
      <c r="G10" s="27">
        <v>1457.158851727206</v>
      </c>
      <c r="H10" s="33">
        <v>62181.976120855368</v>
      </c>
      <c r="I10" s="27">
        <v>1692.9567026523025</v>
      </c>
      <c r="J10" s="33">
        <v>70685.236565448227</v>
      </c>
      <c r="K10" s="27">
        <v>1544.8987935574578</v>
      </c>
      <c r="L10" s="27">
        <v>65587.98972606934</v>
      </c>
      <c r="M10" s="27">
        <f t="shared" si="0"/>
        <v>58199.83272721195</v>
      </c>
      <c r="N10" s="27">
        <f t="shared" si="1"/>
        <v>2380398.0838337666</v>
      </c>
    </row>
    <row r="11" spans="2:32" x14ac:dyDescent="0.2">
      <c r="B11" s="25" t="s">
        <v>42</v>
      </c>
      <c r="C11" s="27">
        <v>45407.964940630547</v>
      </c>
      <c r="D11" s="33">
        <v>2740897.5023381668</v>
      </c>
      <c r="E11" s="27">
        <v>2882.5294259288935</v>
      </c>
      <c r="F11" s="33">
        <v>178866.57692767019</v>
      </c>
      <c r="G11" s="27">
        <v>3980.092901573476</v>
      </c>
      <c r="H11" s="33">
        <v>248756.80164518606</v>
      </c>
      <c r="I11" s="27">
        <v>5802.4257374474055</v>
      </c>
      <c r="J11" s="33">
        <v>373371.65594447654</v>
      </c>
      <c r="K11" s="27">
        <v>8756.639358272043</v>
      </c>
      <c r="L11" s="27">
        <v>569259.94011896255</v>
      </c>
      <c r="M11" s="27">
        <f t="shared" si="0"/>
        <v>66829.652363852365</v>
      </c>
      <c r="N11" s="27">
        <f t="shared" si="1"/>
        <v>4111152.4769744622</v>
      </c>
    </row>
    <row r="12" spans="2:32" x14ac:dyDescent="0.2">
      <c r="B12" s="25" t="s">
        <v>43</v>
      </c>
      <c r="C12" s="27">
        <v>14456.103006901292</v>
      </c>
      <c r="D12" s="33">
        <v>1232196.2693199951</v>
      </c>
      <c r="E12" s="27">
        <v>2049.0668997487205</v>
      </c>
      <c r="F12" s="33">
        <v>177324.27074947339</v>
      </c>
      <c r="G12" s="27">
        <v>2979.7175222947703</v>
      </c>
      <c r="H12" s="33">
        <v>258608.33567249976</v>
      </c>
      <c r="I12" s="27">
        <v>8522.0159310188283</v>
      </c>
      <c r="J12" s="33">
        <v>744547.59956128837</v>
      </c>
      <c r="K12" s="27">
        <v>13972.376929887505</v>
      </c>
      <c r="L12" s="27">
        <v>1218362.6452023918</v>
      </c>
      <c r="M12" s="27">
        <f t="shared" si="0"/>
        <v>41979.280289851115</v>
      </c>
      <c r="N12" s="27">
        <f t="shared" si="1"/>
        <v>3631039.1205056487</v>
      </c>
    </row>
    <row r="13" spans="2:32" x14ac:dyDescent="0.2">
      <c r="B13" s="25" t="s">
        <v>44</v>
      </c>
      <c r="C13" s="27">
        <v>6775.0359966484166</v>
      </c>
      <c r="D13" s="33">
        <v>792159.06564489461</v>
      </c>
      <c r="E13" s="27">
        <v>1491.4640016136759</v>
      </c>
      <c r="F13" s="33">
        <v>177722.56837734341</v>
      </c>
      <c r="G13" s="27">
        <v>2895.8101578257197</v>
      </c>
      <c r="H13" s="33">
        <v>346328.43619612872</v>
      </c>
      <c r="I13" s="27">
        <v>9226.9504102134033</v>
      </c>
      <c r="J13" s="33">
        <v>1106575.2413146743</v>
      </c>
      <c r="K13" s="27">
        <v>14220.086014096409</v>
      </c>
      <c r="L13" s="27">
        <v>1706004.738766385</v>
      </c>
      <c r="M13" s="27">
        <f t="shared" si="0"/>
        <v>34609.346580397621</v>
      </c>
      <c r="N13" s="27">
        <f t="shared" si="1"/>
        <v>4128790.0502994256</v>
      </c>
    </row>
    <row r="14" spans="2:32" x14ac:dyDescent="0.2">
      <c r="B14" s="25" t="s">
        <v>45</v>
      </c>
      <c r="C14" s="27">
        <v>1824.4913643924774</v>
      </c>
      <c r="D14" s="33">
        <v>334472.03023794043</v>
      </c>
      <c r="E14" s="27">
        <v>490.50462680655812</v>
      </c>
      <c r="F14" s="33">
        <v>91256.979466053061</v>
      </c>
      <c r="G14" s="27">
        <v>1170.634725516215</v>
      </c>
      <c r="H14" s="33">
        <v>216418.53780206339</v>
      </c>
      <c r="I14" s="27">
        <v>3616.6626171949083</v>
      </c>
      <c r="J14" s="33">
        <v>660208.16799206415</v>
      </c>
      <c r="K14" s="27">
        <v>5739.4353713797054</v>
      </c>
      <c r="L14" s="27">
        <v>1052662.2424998528</v>
      </c>
      <c r="M14" s="27">
        <f t="shared" si="0"/>
        <v>12841.728705289865</v>
      </c>
      <c r="N14" s="27">
        <f t="shared" si="1"/>
        <v>2355017.957997974</v>
      </c>
    </row>
    <row r="15" spans="2:32" x14ac:dyDescent="0.2">
      <c r="B15" s="25" t="s">
        <v>46</v>
      </c>
      <c r="C15" s="27">
        <v>485.97312524050466</v>
      </c>
      <c r="D15" s="33">
        <v>156286.82492762769</v>
      </c>
      <c r="E15" s="27">
        <v>163.00058409811408</v>
      </c>
      <c r="F15" s="33">
        <v>53295.999053663611</v>
      </c>
      <c r="G15" s="27">
        <v>375.63566910888738</v>
      </c>
      <c r="H15" s="33">
        <v>123082.32412002233</v>
      </c>
      <c r="I15" s="27">
        <v>823.38595811677101</v>
      </c>
      <c r="J15" s="33">
        <v>266776.32982720877</v>
      </c>
      <c r="K15" s="27">
        <v>1518.9656428900657</v>
      </c>
      <c r="L15" s="27">
        <v>494674.71165262861</v>
      </c>
      <c r="M15" s="27">
        <f t="shared" si="0"/>
        <v>3366.960979454343</v>
      </c>
      <c r="N15" s="27">
        <f t="shared" si="1"/>
        <v>1094116.1895811511</v>
      </c>
    </row>
    <row r="16" spans="2:32" x14ac:dyDescent="0.2">
      <c r="B16" s="25" t="s">
        <v>47</v>
      </c>
      <c r="C16" s="27">
        <v>89.579719959430577</v>
      </c>
      <c r="D16" s="33">
        <v>58042.702234170334</v>
      </c>
      <c r="E16" s="27">
        <v>39.791328877658714</v>
      </c>
      <c r="F16" s="33">
        <v>25143.206526934922</v>
      </c>
      <c r="G16" s="27">
        <v>81.800911658491387</v>
      </c>
      <c r="H16" s="33">
        <v>52951.699658678699</v>
      </c>
      <c r="I16" s="27">
        <v>141.77424110575467</v>
      </c>
      <c r="J16" s="33">
        <v>91480.876463997964</v>
      </c>
      <c r="K16" s="27">
        <v>254.13914414339109</v>
      </c>
      <c r="L16" s="27">
        <v>163142.63691277767</v>
      </c>
      <c r="M16" s="27">
        <f t="shared" si="0"/>
        <v>607.08534574472651</v>
      </c>
      <c r="N16" s="27">
        <f t="shared" si="1"/>
        <v>390761.12179655954</v>
      </c>
    </row>
    <row r="17" spans="2:14" x14ac:dyDescent="0.2">
      <c r="B17" s="26" t="s">
        <v>48</v>
      </c>
      <c r="C17" s="27">
        <v>28.25210935175938</v>
      </c>
      <c r="D17" s="33">
        <v>61947.389760949569</v>
      </c>
      <c r="E17" s="27">
        <v>15.711512146246861</v>
      </c>
      <c r="F17" s="33">
        <v>54412.929505731896</v>
      </c>
      <c r="G17" s="27">
        <v>34.370877249776733</v>
      </c>
      <c r="H17" s="33">
        <v>84468.659764853175</v>
      </c>
      <c r="I17" s="27">
        <v>33.743120501027143</v>
      </c>
      <c r="J17" s="33">
        <v>58672.071589839907</v>
      </c>
      <c r="K17" s="27">
        <v>56.885923259463816</v>
      </c>
      <c r="L17" s="27">
        <v>89750.581446931363</v>
      </c>
      <c r="M17" s="27">
        <f t="shared" si="0"/>
        <v>168.96354250827395</v>
      </c>
      <c r="N17" s="27">
        <f t="shared" si="1"/>
        <v>349251.63206830592</v>
      </c>
    </row>
    <row r="18" spans="2:14" x14ac:dyDescent="0.2">
      <c r="B18" s="10" t="s">
        <v>0</v>
      </c>
      <c r="C18" s="96">
        <f t="shared" ref="C18:N18" si="2">SUM(C6:C17)</f>
        <v>182415.79974022671</v>
      </c>
      <c r="D18" s="31">
        <f t="shared" si="2"/>
        <v>8204883.8576634424</v>
      </c>
      <c r="E18" s="96">
        <f t="shared" si="2"/>
        <v>10045.861912623408</v>
      </c>
      <c r="F18" s="31">
        <f t="shared" si="2"/>
        <v>847062.56003720581</v>
      </c>
      <c r="G18" s="96">
        <f t="shared" si="2"/>
        <v>13620.972477835485</v>
      </c>
      <c r="H18" s="31">
        <f t="shared" si="2"/>
        <v>1400963.8343116529</v>
      </c>
      <c r="I18" s="96">
        <f t="shared" si="2"/>
        <v>30568.51156912632</v>
      </c>
      <c r="J18" s="31">
        <f t="shared" si="2"/>
        <v>3382818.7452643844</v>
      </c>
      <c r="K18" s="96">
        <f t="shared" si="2"/>
        <v>46753.441198131964</v>
      </c>
      <c r="L18" s="31">
        <f t="shared" si="2"/>
        <v>5368201.0938328886</v>
      </c>
      <c r="M18" s="96">
        <f t="shared" si="2"/>
        <v>283404.58689794393</v>
      </c>
      <c r="N18" s="31">
        <f t="shared" si="2"/>
        <v>19203930.091109574</v>
      </c>
    </row>
    <row r="20" spans="2:14" x14ac:dyDescent="0.2">
      <c r="B20" s="261" t="s">
        <v>584</v>
      </c>
      <c r="C20" s="260"/>
      <c r="D20" s="260"/>
      <c r="E20" s="260"/>
      <c r="F20" s="260"/>
      <c r="G20" s="260"/>
      <c r="H20" s="260"/>
      <c r="I20" s="260"/>
      <c r="J20" s="260"/>
      <c r="K20" s="260"/>
      <c r="L20" s="260"/>
      <c r="M20" s="260"/>
      <c r="N20" s="260"/>
    </row>
  </sheetData>
  <mergeCells count="10">
    <mergeCell ref="B20:N20"/>
    <mergeCell ref="B3:B5"/>
    <mergeCell ref="E4:F4"/>
    <mergeCell ref="G4:H4"/>
    <mergeCell ref="I4:J4"/>
    <mergeCell ref="K4:L4"/>
    <mergeCell ref="M3:N4"/>
    <mergeCell ref="E3:H3"/>
    <mergeCell ref="I3:L3"/>
    <mergeCell ref="C3:D4"/>
  </mergeCells>
  <pageMargins left="0.78740157480314965" right="0.78740157480314965" top="0.98425196850393704" bottom="0.98425196850393704" header="0.51181102362204722" footer="0.51181102362204722"/>
  <pageSetup paperSize="9" scale="83"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97E"/>
    <pageSetUpPr fitToPage="1"/>
  </sheetPr>
  <dimension ref="B1:AF19"/>
  <sheetViews>
    <sheetView view="pageBreakPreview" zoomScaleNormal="100" zoomScaleSheetLayoutView="100" zoomScalePageLayoutView="70" workbookViewId="0"/>
  </sheetViews>
  <sheetFormatPr baseColWidth="10" defaultRowHeight="12.75" x14ac:dyDescent="0.2"/>
  <cols>
    <col min="1" max="1" width="2" style="164" customWidth="1"/>
    <col min="2" max="2" width="16.28515625" style="164" customWidth="1"/>
    <col min="3" max="14" width="10.7109375" style="164" customWidth="1"/>
    <col min="15" max="16384" width="11.42578125" style="164"/>
  </cols>
  <sheetData>
    <row r="1" spans="2:32" s="11" customFormat="1" ht="15.75" x14ac:dyDescent="0.2">
      <c r="B1" s="213" t="str">
        <f>Inhaltsverzeichnis!B44&amp;" "&amp;Inhaltsverzeichnis!C44&amp;" "&amp;Inhaltsverzeichnis!E44</f>
        <v>Tabelle  15b: Verteilung der Pflichtigen (unter 65 Jahren) und des Reineinkommens nach Verdienerzahl und Stufen des Reinvermögens, 2013</v>
      </c>
      <c r="C1" s="214"/>
      <c r="D1" s="214"/>
      <c r="E1" s="214"/>
      <c r="F1" s="214"/>
      <c r="G1" s="214"/>
      <c r="H1" s="214"/>
      <c r="I1" s="214"/>
      <c r="J1" s="214"/>
      <c r="K1" s="214"/>
      <c r="L1" s="214"/>
      <c r="M1" s="214"/>
      <c r="N1" s="214"/>
      <c r="O1" s="214"/>
      <c r="P1" s="214"/>
      <c r="Q1" s="214"/>
      <c r="R1" s="214"/>
      <c r="S1" s="214"/>
      <c r="T1" s="163"/>
      <c r="U1" s="163"/>
      <c r="V1" s="163"/>
      <c r="W1" s="163"/>
      <c r="X1" s="163"/>
      <c r="Y1" s="163"/>
      <c r="Z1" s="163"/>
      <c r="AA1" s="163"/>
      <c r="AB1" s="163"/>
      <c r="AC1" s="163"/>
      <c r="AD1" s="163"/>
      <c r="AE1" s="163"/>
      <c r="AF1" s="163"/>
    </row>
    <row r="3" spans="2:32" ht="12.75" customHeight="1" x14ac:dyDescent="0.2">
      <c r="B3" s="248" t="s">
        <v>569</v>
      </c>
      <c r="C3" s="293" t="s">
        <v>113</v>
      </c>
      <c r="D3" s="294"/>
      <c r="E3" s="275" t="s">
        <v>534</v>
      </c>
      <c r="F3" s="284"/>
      <c r="G3" s="284"/>
      <c r="H3" s="283"/>
      <c r="I3" s="275" t="s">
        <v>535</v>
      </c>
      <c r="J3" s="284"/>
      <c r="K3" s="284"/>
      <c r="L3" s="283"/>
      <c r="M3" s="293" t="s">
        <v>0</v>
      </c>
      <c r="N3" s="294"/>
    </row>
    <row r="4" spans="2:32" s="165" customFormat="1" ht="27" customHeight="1" x14ac:dyDescent="0.2">
      <c r="B4" s="279"/>
      <c r="C4" s="295"/>
      <c r="D4" s="296"/>
      <c r="E4" s="290" t="s">
        <v>102</v>
      </c>
      <c r="F4" s="287"/>
      <c r="G4" s="290" t="s">
        <v>103</v>
      </c>
      <c r="H4" s="287"/>
      <c r="I4" s="290" t="s">
        <v>102</v>
      </c>
      <c r="J4" s="287"/>
      <c r="K4" s="290" t="s">
        <v>103</v>
      </c>
      <c r="L4" s="287"/>
      <c r="M4" s="295"/>
      <c r="N4" s="296"/>
    </row>
    <row r="5" spans="2:32" ht="25.5" x14ac:dyDescent="0.2">
      <c r="B5" s="269"/>
      <c r="C5" s="196" t="s">
        <v>441</v>
      </c>
      <c r="D5" s="205" t="s">
        <v>533</v>
      </c>
      <c r="E5" s="196" t="s">
        <v>441</v>
      </c>
      <c r="F5" s="205" t="s">
        <v>533</v>
      </c>
      <c r="G5" s="196" t="s">
        <v>441</v>
      </c>
      <c r="H5" s="205" t="s">
        <v>533</v>
      </c>
      <c r="I5" s="196" t="s">
        <v>441</v>
      </c>
      <c r="J5" s="205" t="s">
        <v>533</v>
      </c>
      <c r="K5" s="196" t="s">
        <v>441</v>
      </c>
      <c r="L5" s="205" t="s">
        <v>533</v>
      </c>
      <c r="M5" s="196" t="s">
        <v>441</v>
      </c>
      <c r="N5" s="205" t="s">
        <v>533</v>
      </c>
    </row>
    <row r="6" spans="2:32" x14ac:dyDescent="0.2">
      <c r="B6" s="25">
        <v>0</v>
      </c>
      <c r="C6" s="27">
        <v>42533.001130934033</v>
      </c>
      <c r="D6" s="33">
        <v>0</v>
      </c>
      <c r="E6" s="27">
        <v>2151.661807511965</v>
      </c>
      <c r="F6" s="33">
        <v>0</v>
      </c>
      <c r="G6" s="27">
        <v>4571.8572682538252</v>
      </c>
      <c r="H6" s="33">
        <v>0</v>
      </c>
      <c r="I6" s="27">
        <v>6836.4387800941977</v>
      </c>
      <c r="J6" s="33">
        <v>0</v>
      </c>
      <c r="K6" s="27">
        <v>15066.472003742127</v>
      </c>
      <c r="L6" s="27">
        <v>0</v>
      </c>
      <c r="M6" s="27">
        <f>C6+E6+G6+I6+K6</f>
        <v>71159.430990536144</v>
      </c>
      <c r="N6" s="27">
        <f>D6+F6+H6+J6+L6</f>
        <v>0</v>
      </c>
    </row>
    <row r="7" spans="2:32" x14ac:dyDescent="0.2">
      <c r="B7" s="25" t="s">
        <v>49</v>
      </c>
      <c r="C7" s="27">
        <v>67400.106498881796</v>
      </c>
      <c r="D7" s="33">
        <v>580876.68820953893</v>
      </c>
      <c r="E7" s="27">
        <v>1620.7357940619981</v>
      </c>
      <c r="F7" s="33">
        <v>12219.273269603187</v>
      </c>
      <c r="G7" s="27">
        <v>2303.6021310347992</v>
      </c>
      <c r="H7" s="33">
        <v>19581.692905702035</v>
      </c>
      <c r="I7" s="27">
        <v>3425.2739253688269</v>
      </c>
      <c r="J7" s="33">
        <v>35792.067753940981</v>
      </c>
      <c r="K7" s="27">
        <v>6087.5868507331625</v>
      </c>
      <c r="L7" s="27">
        <v>61956.956945479775</v>
      </c>
      <c r="M7" s="27">
        <f t="shared" ref="M7:N16" si="0">C7+E7+G7+I7+K7</f>
        <v>80837.305200080576</v>
      </c>
      <c r="N7" s="27">
        <f t="shared" si="0"/>
        <v>710426.67908426479</v>
      </c>
    </row>
    <row r="8" spans="2:32" x14ac:dyDescent="0.2">
      <c r="B8" s="25" t="s">
        <v>51</v>
      </c>
      <c r="C8" s="27">
        <v>19999.674359720397</v>
      </c>
      <c r="D8" s="33">
        <v>717490.85872590565</v>
      </c>
      <c r="E8" s="27">
        <v>555.3962956768039</v>
      </c>
      <c r="F8" s="33">
        <v>20480.530631582857</v>
      </c>
      <c r="G8" s="27">
        <v>962.25517500572698</v>
      </c>
      <c r="H8" s="33">
        <v>35346.656447941954</v>
      </c>
      <c r="I8" s="27">
        <v>1963.9050907182223</v>
      </c>
      <c r="J8" s="33">
        <v>72734.810474874263</v>
      </c>
      <c r="K8" s="27">
        <v>3219.2390893048419</v>
      </c>
      <c r="L8" s="27">
        <v>118469.39421860226</v>
      </c>
      <c r="M8" s="27">
        <f t="shared" si="0"/>
        <v>26700.470010425994</v>
      </c>
      <c r="N8" s="27">
        <f t="shared" si="0"/>
        <v>964522.25049890683</v>
      </c>
    </row>
    <row r="9" spans="2:32" x14ac:dyDescent="0.2">
      <c r="B9" s="25" t="s">
        <v>52</v>
      </c>
      <c r="C9" s="27">
        <v>18310.223053626476</v>
      </c>
      <c r="D9" s="33">
        <v>1307789.7235401173</v>
      </c>
      <c r="E9" s="27">
        <v>838.10497142234601</v>
      </c>
      <c r="F9" s="33">
        <v>61619.235370675073</v>
      </c>
      <c r="G9" s="27">
        <v>1217.698325335037</v>
      </c>
      <c r="H9" s="33">
        <v>89234.177638902271</v>
      </c>
      <c r="I9" s="27">
        <v>2912.8406523094177</v>
      </c>
      <c r="J9" s="33">
        <v>213370.34172293672</v>
      </c>
      <c r="K9" s="27">
        <v>4383.7777772521104</v>
      </c>
      <c r="L9" s="27">
        <v>320044.61385540664</v>
      </c>
      <c r="M9" s="27">
        <f t="shared" si="0"/>
        <v>27662.644779945385</v>
      </c>
      <c r="N9" s="27">
        <f t="shared" si="0"/>
        <v>1992058.0921280379</v>
      </c>
    </row>
    <row r="10" spans="2:32" x14ac:dyDescent="0.2">
      <c r="B10" s="25" t="s">
        <v>53</v>
      </c>
      <c r="C10" s="27">
        <v>17859.213865079371</v>
      </c>
      <c r="D10" s="33">
        <v>2830760.3737875312</v>
      </c>
      <c r="E10" s="27">
        <v>1484.7935564835725</v>
      </c>
      <c r="F10" s="33">
        <v>248774.03819981587</v>
      </c>
      <c r="G10" s="27">
        <v>1891.0650064791971</v>
      </c>
      <c r="H10" s="33">
        <v>309829.78339063528</v>
      </c>
      <c r="I10" s="27">
        <v>5560.0477473679184</v>
      </c>
      <c r="J10" s="33">
        <v>924863.94915159116</v>
      </c>
      <c r="K10" s="27">
        <v>7340.2016737842005</v>
      </c>
      <c r="L10" s="27">
        <v>1207120.7757460393</v>
      </c>
      <c r="M10" s="27">
        <f t="shared" si="0"/>
        <v>34135.321849194261</v>
      </c>
      <c r="N10" s="27">
        <f t="shared" si="0"/>
        <v>5521348.9202756127</v>
      </c>
    </row>
    <row r="11" spans="2:32" x14ac:dyDescent="0.2">
      <c r="B11" s="25" t="s">
        <v>54</v>
      </c>
      <c r="C11" s="27">
        <v>8826.9397687341225</v>
      </c>
      <c r="D11" s="33">
        <v>3104255.7833446939</v>
      </c>
      <c r="E11" s="27">
        <v>1381.5856704297355</v>
      </c>
      <c r="F11" s="33">
        <v>493615.97515742254</v>
      </c>
      <c r="G11" s="27">
        <v>1264.5407691832038</v>
      </c>
      <c r="H11" s="33">
        <v>448910.41674451932</v>
      </c>
      <c r="I11" s="27">
        <v>4357.7286294670039</v>
      </c>
      <c r="J11" s="33">
        <v>1560524.2472826845</v>
      </c>
      <c r="K11" s="27">
        <v>5032.7658769370146</v>
      </c>
      <c r="L11" s="27">
        <v>1785940.5761815736</v>
      </c>
      <c r="M11" s="27">
        <f t="shared" si="0"/>
        <v>20863.560714751078</v>
      </c>
      <c r="N11" s="27">
        <f t="shared" si="0"/>
        <v>7393246.998710894</v>
      </c>
    </row>
    <row r="12" spans="2:32" x14ac:dyDescent="0.2">
      <c r="B12" s="25" t="s">
        <v>55</v>
      </c>
      <c r="C12" s="27">
        <v>3412.2623500515811</v>
      </c>
      <c r="D12" s="33">
        <v>2075635.3128608742</v>
      </c>
      <c r="E12" s="27">
        <v>748.67717912466958</v>
      </c>
      <c r="F12" s="33">
        <v>457625.0976935621</v>
      </c>
      <c r="G12" s="27">
        <v>533.08557919286386</v>
      </c>
      <c r="H12" s="33">
        <v>325296.85313486023</v>
      </c>
      <c r="I12" s="27">
        <v>2131.0632555923803</v>
      </c>
      <c r="J12" s="33">
        <v>1305424.0496340825</v>
      </c>
      <c r="K12" s="27">
        <v>2166.7905273160422</v>
      </c>
      <c r="L12" s="27">
        <v>1317774.0499302265</v>
      </c>
      <c r="M12" s="27">
        <f t="shared" si="0"/>
        <v>8991.8788912775381</v>
      </c>
      <c r="N12" s="27">
        <f t="shared" si="0"/>
        <v>5481755.3632536065</v>
      </c>
    </row>
    <row r="13" spans="2:32" x14ac:dyDescent="0.2">
      <c r="B13" s="25" t="s">
        <v>56</v>
      </c>
      <c r="C13" s="27">
        <v>1469.3101486192891</v>
      </c>
      <c r="D13" s="33">
        <v>1264751.5139994281</v>
      </c>
      <c r="E13" s="27">
        <v>401.59464265547274</v>
      </c>
      <c r="F13" s="33">
        <v>347774.84573255503</v>
      </c>
      <c r="G13" s="27">
        <v>288.37367252715171</v>
      </c>
      <c r="H13" s="33">
        <v>249079.55654091036</v>
      </c>
      <c r="I13" s="27">
        <v>1108.5486321890228</v>
      </c>
      <c r="J13" s="33">
        <v>955380.01738501107</v>
      </c>
      <c r="K13" s="27">
        <v>1111.2145184163862</v>
      </c>
      <c r="L13" s="27">
        <v>958135.20134834677</v>
      </c>
      <c r="M13" s="27">
        <f t="shared" si="0"/>
        <v>4379.0416144073233</v>
      </c>
      <c r="N13" s="27">
        <f t="shared" si="0"/>
        <v>3775121.1350062513</v>
      </c>
    </row>
    <row r="14" spans="2:32" x14ac:dyDescent="0.2">
      <c r="B14" s="25" t="s">
        <v>57</v>
      </c>
      <c r="C14" s="27">
        <v>2401.2637446965759</v>
      </c>
      <c r="D14" s="33">
        <v>4108795.9396716775</v>
      </c>
      <c r="E14" s="27">
        <v>791.69834446816117</v>
      </c>
      <c r="F14" s="33">
        <v>1420967.7843477966</v>
      </c>
      <c r="G14" s="27">
        <v>509.40822567914915</v>
      </c>
      <c r="H14" s="33">
        <v>920970.46373743343</v>
      </c>
      <c r="I14" s="27">
        <v>2122.5504459226004</v>
      </c>
      <c r="J14" s="33">
        <v>3819790.1581888231</v>
      </c>
      <c r="K14" s="27">
        <v>2142.1733474121393</v>
      </c>
      <c r="L14" s="27">
        <v>3944580.9080695268</v>
      </c>
      <c r="M14" s="27">
        <f t="shared" si="0"/>
        <v>7967.0941081786259</v>
      </c>
      <c r="N14" s="27">
        <f t="shared" si="0"/>
        <v>14215105.254015258</v>
      </c>
    </row>
    <row r="15" spans="2:32" x14ac:dyDescent="0.2">
      <c r="B15" s="25" t="s">
        <v>58</v>
      </c>
      <c r="C15" s="27">
        <v>125.31737967848498</v>
      </c>
      <c r="D15" s="33">
        <v>833496.39846220624</v>
      </c>
      <c r="E15" s="27">
        <v>49.139997514210549</v>
      </c>
      <c r="F15" s="33">
        <v>321717.05457373901</v>
      </c>
      <c r="G15" s="27">
        <v>47.08505246938838</v>
      </c>
      <c r="H15" s="33">
        <v>309444.42971185927</v>
      </c>
      <c r="I15" s="27">
        <v>107.72278084911228</v>
      </c>
      <c r="J15" s="33">
        <v>740978.37210773421</v>
      </c>
      <c r="K15" s="27">
        <v>136.84419568683094</v>
      </c>
      <c r="L15" s="27">
        <v>959497.54954071739</v>
      </c>
      <c r="M15" s="27">
        <f t="shared" si="0"/>
        <v>466.10940619802716</v>
      </c>
      <c r="N15" s="27">
        <f t="shared" si="0"/>
        <v>3165133.8043962559</v>
      </c>
    </row>
    <row r="16" spans="2:32" x14ac:dyDescent="0.2">
      <c r="B16" s="26" t="s">
        <v>50</v>
      </c>
      <c r="C16" s="27">
        <v>78.487440228322669</v>
      </c>
      <c r="D16" s="33">
        <v>2058826.3649564402</v>
      </c>
      <c r="E16" s="27">
        <v>22.473653274525105</v>
      </c>
      <c r="F16" s="33">
        <v>723139.85116277484</v>
      </c>
      <c r="G16" s="27">
        <v>32.001272675048568</v>
      </c>
      <c r="H16" s="33">
        <v>702216.18835241883</v>
      </c>
      <c r="I16" s="27">
        <v>42.391629247398171</v>
      </c>
      <c r="J16" s="33">
        <v>662329.94839480321</v>
      </c>
      <c r="K16" s="27">
        <v>66.375337545949847</v>
      </c>
      <c r="L16" s="27">
        <v>1206679.098692321</v>
      </c>
      <c r="M16" s="27">
        <f t="shared" si="0"/>
        <v>241.72933297124433</v>
      </c>
      <c r="N16" s="27">
        <f t="shared" si="0"/>
        <v>5353191.4515587585</v>
      </c>
    </row>
    <row r="17" spans="2:14" x14ac:dyDescent="0.2">
      <c r="B17" s="10" t="s">
        <v>0</v>
      </c>
      <c r="C17" s="96">
        <f t="shared" ref="C17:N17" si="1">SUM(C6:C16)</f>
        <v>182415.79974025043</v>
      </c>
      <c r="D17" s="31">
        <f t="shared" si="1"/>
        <v>18882678.957558412</v>
      </c>
      <c r="E17" s="96">
        <f t="shared" si="1"/>
        <v>10045.861912623461</v>
      </c>
      <c r="F17" s="31">
        <f t="shared" si="1"/>
        <v>4107933.6861395272</v>
      </c>
      <c r="G17" s="96">
        <f t="shared" si="1"/>
        <v>13620.972477835392</v>
      </c>
      <c r="H17" s="31">
        <f t="shared" si="1"/>
        <v>3409910.2186051831</v>
      </c>
      <c r="I17" s="96">
        <f t="shared" si="1"/>
        <v>30568.511569126105</v>
      </c>
      <c r="J17" s="31">
        <f t="shared" si="1"/>
        <v>10291187.962096483</v>
      </c>
      <c r="K17" s="96">
        <f t="shared" si="1"/>
        <v>46753.441198130822</v>
      </c>
      <c r="L17" s="31">
        <f t="shared" si="1"/>
        <v>11880199.12452824</v>
      </c>
      <c r="M17" s="96">
        <f t="shared" si="1"/>
        <v>283404.58689796622</v>
      </c>
      <c r="N17" s="31">
        <f t="shared" si="1"/>
        <v>48571909.94892785</v>
      </c>
    </row>
    <row r="19" spans="2:14" x14ac:dyDescent="0.2">
      <c r="B19" s="261" t="s">
        <v>584</v>
      </c>
      <c r="C19" s="260"/>
      <c r="D19" s="260"/>
      <c r="E19" s="260"/>
      <c r="F19" s="260"/>
      <c r="G19" s="260"/>
      <c r="H19" s="260"/>
      <c r="I19" s="260"/>
      <c r="J19" s="260"/>
      <c r="K19" s="260"/>
      <c r="L19" s="260"/>
      <c r="M19" s="260"/>
      <c r="N19" s="260"/>
    </row>
  </sheetData>
  <mergeCells count="10">
    <mergeCell ref="B19:N19"/>
    <mergeCell ref="B3:B5"/>
    <mergeCell ref="C3:D4"/>
    <mergeCell ref="E3:H3"/>
    <mergeCell ref="I3:L3"/>
    <mergeCell ref="M3:N4"/>
    <mergeCell ref="E4:F4"/>
    <mergeCell ref="G4:H4"/>
    <mergeCell ref="I4:J4"/>
    <mergeCell ref="K4:L4"/>
  </mergeCells>
  <pageMargins left="0.78740157480314965" right="0.78740157480314965" top="0.98425196850393704" bottom="0.98425196850393704" header="0.51181102362204722" footer="0.51181102362204722"/>
  <pageSetup paperSize="9" scale="83"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0C9BD"/>
    <pageSetUpPr fitToPage="1"/>
  </sheetPr>
  <dimension ref="B1:AF19"/>
  <sheetViews>
    <sheetView view="pageBreakPreview" zoomScaleNormal="100" zoomScaleSheetLayoutView="100" zoomScalePageLayoutView="70" workbookViewId="0"/>
  </sheetViews>
  <sheetFormatPr baseColWidth="10" defaultRowHeight="12.75" x14ac:dyDescent="0.2"/>
  <cols>
    <col min="1" max="1" width="2" style="81" customWidth="1"/>
    <col min="2" max="2" width="16.28515625" style="81" customWidth="1"/>
    <col min="3" max="12" width="13.140625" style="81" customWidth="1"/>
    <col min="13" max="13" width="3" style="81" customWidth="1"/>
    <col min="14" max="16384" width="11.42578125" style="81"/>
  </cols>
  <sheetData>
    <row r="1" spans="2:32" s="11" customFormat="1" ht="15.75" x14ac:dyDescent="0.2">
      <c r="B1" s="213" t="str">
        <f>Inhaltsverzeichnis!B47&amp;" "&amp;Inhaltsverzeichnis!C47&amp;" "&amp;Inhaltsverzeichnis!E47</f>
        <v>Tabelle 16: Verteilung der Altersrentnerinnen- und rentner, Einkommen und Vermögen nach Stufen des Reineinkommens, 2013</v>
      </c>
      <c r="C1" s="214"/>
      <c r="D1" s="214"/>
      <c r="E1" s="214"/>
      <c r="F1" s="214"/>
      <c r="G1" s="214"/>
      <c r="H1" s="214"/>
      <c r="I1" s="214"/>
      <c r="J1" s="214"/>
      <c r="K1" s="214"/>
      <c r="L1" s="214"/>
      <c r="M1" s="214"/>
      <c r="N1" s="214"/>
      <c r="O1" s="214"/>
      <c r="P1" s="214"/>
      <c r="Q1" s="214"/>
      <c r="R1" s="214"/>
      <c r="S1" s="214"/>
      <c r="T1" s="78"/>
      <c r="U1" s="78"/>
      <c r="V1" s="78"/>
      <c r="W1" s="78"/>
      <c r="X1" s="78"/>
      <c r="Y1" s="78"/>
      <c r="Z1" s="78"/>
      <c r="AA1" s="78"/>
      <c r="AB1" s="78"/>
      <c r="AC1" s="78"/>
      <c r="AD1" s="78"/>
      <c r="AE1" s="78"/>
      <c r="AF1" s="78"/>
    </row>
    <row r="3" spans="2:32" s="45" customFormat="1" ht="27" customHeight="1" x14ac:dyDescent="0.2">
      <c r="B3" s="248" t="s">
        <v>570</v>
      </c>
      <c r="C3" s="251" t="s">
        <v>441</v>
      </c>
      <c r="D3" s="247"/>
      <c r="E3" s="246" t="s">
        <v>59</v>
      </c>
      <c r="F3" s="250"/>
      <c r="G3" s="246" t="s">
        <v>60</v>
      </c>
      <c r="H3" s="247"/>
      <c r="I3" s="246" t="s">
        <v>61</v>
      </c>
      <c r="J3" s="247"/>
      <c r="K3" s="246" t="s">
        <v>62</v>
      </c>
      <c r="L3" s="247"/>
    </row>
    <row r="4" spans="2:32" ht="17.25" customHeight="1" x14ac:dyDescent="0.2">
      <c r="B4" s="249"/>
      <c r="C4" s="47" t="s">
        <v>1</v>
      </c>
      <c r="D4" s="47" t="s">
        <v>2</v>
      </c>
      <c r="E4" s="47" t="s">
        <v>1</v>
      </c>
      <c r="F4" s="47" t="s">
        <v>2</v>
      </c>
      <c r="G4" s="47" t="s">
        <v>1</v>
      </c>
      <c r="H4" s="47" t="s">
        <v>2</v>
      </c>
      <c r="I4" s="47" t="s">
        <v>1</v>
      </c>
      <c r="J4" s="47" t="s">
        <v>2</v>
      </c>
      <c r="K4" s="47" t="s">
        <v>1</v>
      </c>
      <c r="L4" s="47" t="s">
        <v>2</v>
      </c>
    </row>
    <row r="5" spans="2:32" x14ac:dyDescent="0.2">
      <c r="B5" s="25">
        <v>0</v>
      </c>
      <c r="C5" s="27">
        <v>2271.8171582095056</v>
      </c>
      <c r="D5" s="28">
        <f>C5/SUM($C$5:$C$16)</f>
        <v>3.0214958869841851E-2</v>
      </c>
      <c r="E5" s="27">
        <v>67183.521357829348</v>
      </c>
      <c r="F5" s="28">
        <f>E5/SUM($E$5:$E$16)</f>
        <v>1.1763159379170928E-2</v>
      </c>
      <c r="G5" s="27">
        <v>0</v>
      </c>
      <c r="H5" s="28">
        <f>G5/SUM($G$5:$G$16)</f>
        <v>0</v>
      </c>
      <c r="I5" s="27">
        <v>917048.12629247399</v>
      </c>
      <c r="J5" s="28">
        <f>I5/SUM($I$5:$I$16)</f>
        <v>1.3502331559892956E-2</v>
      </c>
      <c r="K5" s="27">
        <v>741470.37459036033</v>
      </c>
      <c r="L5" s="28">
        <f>K5/SUM($K$5:$K$16)</f>
        <v>1.3741572132532569E-2</v>
      </c>
    </row>
    <row r="6" spans="2:32" x14ac:dyDescent="0.2">
      <c r="B6" s="25" t="s">
        <v>38</v>
      </c>
      <c r="C6" s="27">
        <v>1205.2728584703189</v>
      </c>
      <c r="D6" s="28">
        <f t="shared" ref="D6:D16" si="0">C6/SUM($C$5:$C$16)</f>
        <v>1.6030017958980052E-2</v>
      </c>
      <c r="E6" s="27">
        <v>34036.239001954193</v>
      </c>
      <c r="F6" s="28">
        <f t="shared" ref="F6:F16" si="1">E6/SUM($E$5:$E$16)</f>
        <v>5.9594033768353904E-3</v>
      </c>
      <c r="G6" s="27">
        <v>6716.1679235155998</v>
      </c>
      <c r="H6" s="28">
        <f t="shared" ref="H6:H16" si="2">G6/SUM($G$5:$G$16)</f>
        <v>1.3853574723871128E-3</v>
      </c>
      <c r="I6" s="27">
        <v>410137.85041938064</v>
      </c>
      <c r="J6" s="28">
        <f t="shared" ref="J6:J16" si="3">I6/SUM($I$5:$I$16)</f>
        <v>6.0387422239365496E-3</v>
      </c>
      <c r="K6" s="27">
        <v>343432.73008352582</v>
      </c>
      <c r="L6" s="28">
        <f t="shared" ref="L6:L16" si="4">K6/SUM($K$5:$K$16)</f>
        <v>6.3647932470972017E-3</v>
      </c>
    </row>
    <row r="7" spans="2:32" x14ac:dyDescent="0.2">
      <c r="B7" s="25" t="s">
        <v>39</v>
      </c>
      <c r="C7" s="27">
        <v>3356.5874776475716</v>
      </c>
      <c r="D7" s="28">
        <f t="shared" si="0"/>
        <v>4.4642304163280189E-2</v>
      </c>
      <c r="E7" s="27">
        <v>85975.372180029706</v>
      </c>
      <c r="F7" s="28">
        <f t="shared" si="1"/>
        <v>1.5053423595507461E-2</v>
      </c>
      <c r="G7" s="27">
        <v>54212.5561110751</v>
      </c>
      <c r="H7" s="28">
        <f t="shared" si="2"/>
        <v>1.1182533039818667E-2</v>
      </c>
      <c r="I7" s="27">
        <v>858490.98081772216</v>
      </c>
      <c r="J7" s="28">
        <f t="shared" si="3"/>
        <v>1.2640154351595798E-2</v>
      </c>
      <c r="K7" s="27">
        <v>672622.5310118437</v>
      </c>
      <c r="L7" s="28">
        <f t="shared" si="4"/>
        <v>1.2465624176788303E-2</v>
      </c>
    </row>
    <row r="8" spans="2:32" x14ac:dyDescent="0.2">
      <c r="B8" s="25" t="s">
        <v>40</v>
      </c>
      <c r="C8" s="27">
        <v>9260.3271595775841</v>
      </c>
      <c r="D8" s="28">
        <f t="shared" si="0"/>
        <v>0.12316149793869682</v>
      </c>
      <c r="E8" s="27">
        <v>286299.14128719998</v>
      </c>
      <c r="F8" s="28">
        <f t="shared" si="1"/>
        <v>5.0128102264003147E-2</v>
      </c>
      <c r="G8" s="27">
        <v>234321.44478048148</v>
      </c>
      <c r="H8" s="28">
        <f t="shared" si="2"/>
        <v>4.833395593498821E-2</v>
      </c>
      <c r="I8" s="27">
        <v>2497696.2640923699</v>
      </c>
      <c r="J8" s="28">
        <f t="shared" si="3"/>
        <v>3.6775303418400226E-2</v>
      </c>
      <c r="K8" s="27">
        <v>2027034.0321218832</v>
      </c>
      <c r="L8" s="28">
        <f t="shared" si="4"/>
        <v>3.7566752930472819E-2</v>
      </c>
    </row>
    <row r="9" spans="2:32" x14ac:dyDescent="0.2">
      <c r="B9" s="25" t="s">
        <v>41</v>
      </c>
      <c r="C9" s="27">
        <v>20915.694501408165</v>
      </c>
      <c r="D9" s="28">
        <f t="shared" si="0"/>
        <v>0.27817680961275026</v>
      </c>
      <c r="E9" s="27">
        <v>984614.15288211592</v>
      </c>
      <c r="F9" s="28">
        <f t="shared" si="1"/>
        <v>0.17239604256006971</v>
      </c>
      <c r="G9" s="27">
        <v>837502.52125677769</v>
      </c>
      <c r="H9" s="28">
        <f t="shared" si="2"/>
        <v>0.17275333034835619</v>
      </c>
      <c r="I9" s="27">
        <v>10341933.481809366</v>
      </c>
      <c r="J9" s="28">
        <f t="shared" si="3"/>
        <v>0.15227141394018054</v>
      </c>
      <c r="K9" s="27">
        <v>8309418.2542825639</v>
      </c>
      <c r="L9" s="28">
        <f t="shared" si="4"/>
        <v>0.15399734666902928</v>
      </c>
    </row>
    <row r="10" spans="2:32" x14ac:dyDescent="0.2">
      <c r="B10" s="25" t="s">
        <v>42</v>
      </c>
      <c r="C10" s="27">
        <v>18917.733736659422</v>
      </c>
      <c r="D10" s="28">
        <f t="shared" si="0"/>
        <v>0.25160411554171014</v>
      </c>
      <c r="E10" s="27">
        <v>1348303.2802785172</v>
      </c>
      <c r="F10" s="28">
        <f t="shared" si="1"/>
        <v>0.23607435360377788</v>
      </c>
      <c r="G10" s="27">
        <v>1166985.1130575754</v>
      </c>
      <c r="H10" s="28">
        <f t="shared" si="2"/>
        <v>0.24071636757000103</v>
      </c>
      <c r="I10" s="27">
        <v>14105378.729987444</v>
      </c>
      <c r="J10" s="28">
        <f t="shared" si="3"/>
        <v>0.20768321195981634</v>
      </c>
      <c r="K10" s="27">
        <v>11130864.489347888</v>
      </c>
      <c r="L10" s="28">
        <f t="shared" si="4"/>
        <v>0.20628683561676026</v>
      </c>
    </row>
    <row r="11" spans="2:32" x14ac:dyDescent="0.2">
      <c r="B11" s="25" t="s">
        <v>43</v>
      </c>
      <c r="C11" s="27">
        <v>9844.8251812921171</v>
      </c>
      <c r="D11" s="28">
        <f t="shared" si="0"/>
        <v>0.13093526776950815</v>
      </c>
      <c r="E11" s="27">
        <v>969272.61338302016</v>
      </c>
      <c r="F11" s="28">
        <f t="shared" si="1"/>
        <v>0.16970989317994825</v>
      </c>
      <c r="G11" s="27">
        <v>844598.41970531235</v>
      </c>
      <c r="H11" s="28">
        <f t="shared" si="2"/>
        <v>0.17421701560026273</v>
      </c>
      <c r="I11" s="27">
        <v>10127678.543943509</v>
      </c>
      <c r="J11" s="28">
        <f t="shared" si="3"/>
        <v>0.14911679083320695</v>
      </c>
      <c r="K11" s="27">
        <v>7831179.5991971875</v>
      </c>
      <c r="L11" s="28">
        <f t="shared" si="4"/>
        <v>0.14513421308928004</v>
      </c>
    </row>
    <row r="12" spans="2:32" x14ac:dyDescent="0.2">
      <c r="B12" s="25" t="s">
        <v>44</v>
      </c>
      <c r="C12" s="27">
        <v>6357.1065954775713</v>
      </c>
      <c r="D12" s="28">
        <f t="shared" si="0"/>
        <v>8.4548931950553435E-2</v>
      </c>
      <c r="E12" s="27">
        <v>865706.87910889764</v>
      </c>
      <c r="F12" s="28">
        <f t="shared" si="1"/>
        <v>0.15157657396914453</v>
      </c>
      <c r="G12" s="27">
        <v>753236.63937941298</v>
      </c>
      <c r="H12" s="28">
        <f t="shared" si="2"/>
        <v>0.15537163732704917</v>
      </c>
      <c r="I12" s="27">
        <v>10108797.365726558</v>
      </c>
      <c r="J12" s="28">
        <f t="shared" si="3"/>
        <v>0.14883879023409183</v>
      </c>
      <c r="K12" s="27">
        <v>7775472.7285239734</v>
      </c>
      <c r="L12" s="28">
        <f t="shared" si="4"/>
        <v>0.14410180504188294</v>
      </c>
    </row>
    <row r="13" spans="2:32" x14ac:dyDescent="0.2">
      <c r="B13" s="25" t="s">
        <v>45</v>
      </c>
      <c r="C13" s="27">
        <v>2206.0902054601461</v>
      </c>
      <c r="D13" s="28">
        <f t="shared" si="0"/>
        <v>2.9340796454620406E-2</v>
      </c>
      <c r="E13" s="27">
        <v>474865.07069451339</v>
      </c>
      <c r="F13" s="28">
        <f t="shared" si="1"/>
        <v>8.3144101370177234E-2</v>
      </c>
      <c r="G13" s="27">
        <v>407822.03280544252</v>
      </c>
      <c r="H13" s="28">
        <f t="shared" si="2"/>
        <v>8.4122271358483519E-2</v>
      </c>
      <c r="I13" s="27">
        <v>6893913.5117346887</v>
      </c>
      <c r="J13" s="28">
        <f t="shared" si="3"/>
        <v>0.10150383966978471</v>
      </c>
      <c r="K13" s="27">
        <v>5273771.1272940459</v>
      </c>
      <c r="L13" s="28">
        <f t="shared" si="4"/>
        <v>9.7738100994549021E-2</v>
      </c>
    </row>
    <row r="14" spans="2:32" x14ac:dyDescent="0.2">
      <c r="B14" s="25" t="s">
        <v>46</v>
      </c>
      <c r="C14" s="27">
        <v>629.9687383082063</v>
      </c>
      <c r="D14" s="28">
        <f t="shared" si="0"/>
        <v>8.3785261716529686E-3</v>
      </c>
      <c r="E14" s="27">
        <v>239263.20834611118</v>
      </c>
      <c r="F14" s="28">
        <f t="shared" si="1"/>
        <v>4.1892583128483096E-2</v>
      </c>
      <c r="G14" s="27">
        <v>208810.5449859816</v>
      </c>
      <c r="H14" s="28">
        <f t="shared" si="2"/>
        <v>4.3071771299329258E-2</v>
      </c>
      <c r="I14" s="27">
        <v>4229674.2874345062</v>
      </c>
      <c r="J14" s="28">
        <f t="shared" si="3"/>
        <v>6.2276409472844234E-2</v>
      </c>
      <c r="K14" s="27">
        <v>3254198.4097886584</v>
      </c>
      <c r="L14" s="28">
        <f t="shared" si="4"/>
        <v>6.0309627618485559E-2</v>
      </c>
    </row>
    <row r="15" spans="2:32" x14ac:dyDescent="0.2">
      <c r="B15" s="25" t="s">
        <v>47</v>
      </c>
      <c r="C15" s="27">
        <v>165.12939258393794</v>
      </c>
      <c r="D15" s="28">
        <f t="shared" si="0"/>
        <v>2.1962057056818547E-3</v>
      </c>
      <c r="E15" s="27">
        <v>121843.12588503108</v>
      </c>
      <c r="F15" s="28">
        <f t="shared" si="1"/>
        <v>2.1333506789682141E-2</v>
      </c>
      <c r="G15" s="27">
        <v>109358.07246910324</v>
      </c>
      <c r="H15" s="28">
        <f t="shared" si="2"/>
        <v>2.2557509667152632E-2</v>
      </c>
      <c r="I15" s="27">
        <v>2650044.2510945126</v>
      </c>
      <c r="J15" s="28">
        <f t="shared" si="3"/>
        <v>3.9018427823769915E-2</v>
      </c>
      <c r="K15" s="27">
        <v>2196551.3987624389</v>
      </c>
      <c r="L15" s="28">
        <f t="shared" si="4"/>
        <v>4.070839580824135E-2</v>
      </c>
    </row>
    <row r="16" spans="2:32" x14ac:dyDescent="0.2">
      <c r="B16" s="101" t="s">
        <v>48</v>
      </c>
      <c r="C16" s="27">
        <v>57.937834687834666</v>
      </c>
      <c r="D16" s="28">
        <f t="shared" si="0"/>
        <v>7.7056786272374064E-4</v>
      </c>
      <c r="E16" s="27">
        <v>233987.48380250047</v>
      </c>
      <c r="F16" s="28">
        <f t="shared" si="1"/>
        <v>4.0968856783200301E-2</v>
      </c>
      <c r="G16" s="27">
        <v>224403.93086177408</v>
      </c>
      <c r="H16" s="28">
        <f t="shared" si="2"/>
        <v>4.6288250382171624E-2</v>
      </c>
      <c r="I16" s="27">
        <v>4776967.4929565061</v>
      </c>
      <c r="J16" s="28">
        <f t="shared" si="3"/>
        <v>7.0334584512479911E-2</v>
      </c>
      <c r="K16" s="27">
        <v>4402175.3848789213</v>
      </c>
      <c r="L16" s="28">
        <f t="shared" si="4"/>
        <v>8.1584932674880567E-2</v>
      </c>
    </row>
    <row r="17" spans="2:12" x14ac:dyDescent="0.2">
      <c r="B17" s="10" t="s">
        <v>0</v>
      </c>
      <c r="C17" s="96">
        <f>SUM(C5:C16)</f>
        <v>75188.490839782389</v>
      </c>
      <c r="D17" s="29">
        <f t="shared" ref="D17:L17" si="5">SUM(D5:D16)</f>
        <v>1</v>
      </c>
      <c r="E17" s="96">
        <f t="shared" si="5"/>
        <v>5711350.0882077198</v>
      </c>
      <c r="F17" s="29">
        <f t="shared" si="5"/>
        <v>1.0000000000000002</v>
      </c>
      <c r="G17" s="96">
        <f t="shared" si="5"/>
        <v>4847967.4433364514</v>
      </c>
      <c r="H17" s="29">
        <f t="shared" si="5"/>
        <v>1</v>
      </c>
      <c r="I17" s="96">
        <f t="shared" si="5"/>
        <v>67917760.886309043</v>
      </c>
      <c r="J17" s="29">
        <f t="shared" si="5"/>
        <v>1</v>
      </c>
      <c r="K17" s="96">
        <f t="shared" si="5"/>
        <v>53958191.059883296</v>
      </c>
      <c r="L17" s="29">
        <f t="shared" si="5"/>
        <v>0.99999999999999989</v>
      </c>
    </row>
    <row r="19" spans="2:12" x14ac:dyDescent="0.2">
      <c r="B19" s="261" t="s">
        <v>459</v>
      </c>
      <c r="C19" s="260"/>
      <c r="D19" s="260"/>
      <c r="E19" s="260"/>
      <c r="F19" s="260"/>
      <c r="G19" s="260"/>
      <c r="H19" s="260"/>
      <c r="I19" s="260"/>
      <c r="J19" s="260"/>
      <c r="K19" s="260"/>
      <c r="L19" s="260"/>
    </row>
  </sheetData>
  <mergeCells count="7">
    <mergeCell ref="B19:L19"/>
    <mergeCell ref="B3:B4"/>
    <mergeCell ref="C3:D3"/>
    <mergeCell ref="E3:F3"/>
    <mergeCell ref="G3:H3"/>
    <mergeCell ref="I3:J3"/>
    <mergeCell ref="K3:L3"/>
  </mergeCells>
  <pageMargins left="0.78740157480314965" right="0.78740157480314965" top="0.98425196850393704" bottom="0.98425196850393704" header="0.51181102362204722" footer="0.51181102362204722"/>
  <pageSetup paperSize="9" scale="88"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0C9BD"/>
    <pageSetUpPr fitToPage="1"/>
  </sheetPr>
  <dimension ref="B1:AF45"/>
  <sheetViews>
    <sheetView view="pageBreakPreview" zoomScaleNormal="100" zoomScaleSheetLayoutView="100" zoomScalePageLayoutView="70" workbookViewId="0"/>
  </sheetViews>
  <sheetFormatPr baseColWidth="10" defaultRowHeight="12.75" x14ac:dyDescent="0.2"/>
  <cols>
    <col min="1" max="1" width="2" style="81" customWidth="1"/>
    <col min="2" max="2" width="16.28515625" style="81" customWidth="1"/>
    <col min="3" max="12" width="13.140625" style="81" customWidth="1"/>
    <col min="13" max="14" width="13.7109375" style="81" customWidth="1"/>
    <col min="15" max="17" width="11.42578125" style="81" customWidth="1"/>
    <col min="18" max="16384" width="11.42578125" style="81"/>
  </cols>
  <sheetData>
    <row r="1" spans="2:32" s="11" customFormat="1" ht="15.75" x14ac:dyDescent="0.2">
      <c r="B1" s="213" t="str">
        <f>Inhaltsverzeichnis!B48&amp;" "&amp;Inhaltsverzeichnis!C48&amp;" "&amp;Inhaltsverzeichnis!E48</f>
        <v>Tabelle 17: Verteilung der Altersrentnerinnen- und rentner, Einkommen und Vermögen nach Stufen des Reinvermögens, 2013</v>
      </c>
      <c r="C1" s="214"/>
      <c r="D1" s="214"/>
      <c r="E1" s="214"/>
      <c r="F1" s="214"/>
      <c r="G1" s="214"/>
      <c r="H1" s="214"/>
      <c r="I1" s="214"/>
      <c r="J1" s="214"/>
      <c r="K1" s="214"/>
      <c r="L1" s="214"/>
      <c r="M1" s="214"/>
      <c r="N1" s="214"/>
      <c r="O1" s="214"/>
      <c r="P1" s="214"/>
      <c r="Q1" s="214"/>
      <c r="R1" s="214"/>
      <c r="S1" s="214"/>
      <c r="T1" s="80"/>
      <c r="U1" s="80"/>
      <c r="V1" s="80"/>
      <c r="W1" s="80"/>
      <c r="X1" s="78"/>
      <c r="Y1" s="78"/>
      <c r="Z1" s="78"/>
      <c r="AA1" s="78"/>
      <c r="AB1" s="78"/>
      <c r="AC1" s="78"/>
      <c r="AD1" s="78"/>
      <c r="AE1" s="78"/>
      <c r="AF1" s="78"/>
    </row>
    <row r="3" spans="2:32" ht="28.5" customHeight="1" x14ac:dyDescent="0.2">
      <c r="B3" s="248" t="s">
        <v>572</v>
      </c>
      <c r="C3" s="251" t="s">
        <v>441</v>
      </c>
      <c r="D3" s="247"/>
      <c r="E3" s="246" t="s">
        <v>59</v>
      </c>
      <c r="F3" s="250"/>
      <c r="G3" s="246" t="s">
        <v>60</v>
      </c>
      <c r="H3" s="247"/>
      <c r="I3" s="246" t="s">
        <v>61</v>
      </c>
      <c r="J3" s="247"/>
      <c r="K3" s="246" t="s">
        <v>62</v>
      </c>
      <c r="L3" s="247"/>
    </row>
    <row r="4" spans="2:32" x14ac:dyDescent="0.2">
      <c r="B4" s="249"/>
      <c r="C4" s="47" t="s">
        <v>1</v>
      </c>
      <c r="D4" s="47" t="s">
        <v>2</v>
      </c>
      <c r="E4" s="47" t="s">
        <v>1</v>
      </c>
      <c r="F4" s="47" t="s">
        <v>2</v>
      </c>
      <c r="G4" s="47" t="s">
        <v>1</v>
      </c>
      <c r="H4" s="47" t="s">
        <v>2</v>
      </c>
      <c r="I4" s="47" t="s">
        <v>1</v>
      </c>
      <c r="J4" s="47" t="s">
        <v>2</v>
      </c>
      <c r="K4" s="47" t="s">
        <v>1</v>
      </c>
      <c r="L4" s="47" t="s">
        <v>2</v>
      </c>
    </row>
    <row r="5" spans="2:32" x14ac:dyDescent="0.2">
      <c r="B5" s="100">
        <v>0</v>
      </c>
      <c r="C5" s="141">
        <v>3130.2095454402215</v>
      </c>
      <c r="D5" s="28">
        <f>C5/SUM($C$5:$C$15)</f>
        <v>4.1631498524295554E-2</v>
      </c>
      <c r="E5" s="141">
        <v>166593.49683628156</v>
      </c>
      <c r="F5" s="28">
        <f>E5/SUM($E$5:$E$15)</f>
        <v>2.9168846991230481E-2</v>
      </c>
      <c r="G5" s="141">
        <v>132602.71932078878</v>
      </c>
      <c r="H5" s="28">
        <f>G5/SUM($G$5:$G$15)</f>
        <v>2.735222974796411E-2</v>
      </c>
      <c r="I5" s="141">
        <v>621859.64094083558</v>
      </c>
      <c r="J5" s="28">
        <f>I5/SUM($I$5:$I$15)</f>
        <v>9.1560680568047344E-3</v>
      </c>
      <c r="K5" s="141">
        <v>0</v>
      </c>
      <c r="L5" s="28">
        <f>K5/SUM($K$5:$K$15)</f>
        <v>0</v>
      </c>
    </row>
    <row r="6" spans="2:32" x14ac:dyDescent="0.2">
      <c r="B6" s="24" t="s">
        <v>49</v>
      </c>
      <c r="C6" s="141">
        <v>6450.1549461796594</v>
      </c>
      <c r="D6" s="28">
        <f t="shared" ref="D6:D15" si="0">C6/SUM($C$5:$C$15)</f>
        <v>8.5786466441048162E-2</v>
      </c>
      <c r="E6" s="141">
        <v>247257.35405322214</v>
      </c>
      <c r="F6" s="28">
        <f t="shared" ref="F6:F15" si="1">E6/SUM($E$5:$E$15)</f>
        <v>4.3292277698706826E-2</v>
      </c>
      <c r="G6" s="141">
        <v>202473.0437721732</v>
      </c>
      <c r="H6" s="28">
        <f t="shared" ref="H6:H15" si="2">G6/SUM($G$5:$G$15)</f>
        <v>4.176452217113652E-2</v>
      </c>
      <c r="I6" s="141">
        <v>243008.95655870999</v>
      </c>
      <c r="J6" s="28">
        <f t="shared" ref="J6:J15" si="3">I6/SUM($I$5:$I$15)</f>
        <v>3.5779883404209274E-3</v>
      </c>
      <c r="K6" s="141">
        <v>57546.224895410473</v>
      </c>
      <c r="L6" s="28">
        <f t="shared" ref="L6:L15" si="4">K6/SUM($K$5:$K$15)</f>
        <v>1.0664965552967681E-3</v>
      </c>
    </row>
    <row r="7" spans="2:32" x14ac:dyDescent="0.2">
      <c r="B7" s="25" t="s">
        <v>51</v>
      </c>
      <c r="C7" s="141">
        <v>3210.153862474197</v>
      </c>
      <c r="D7" s="28">
        <f t="shared" si="0"/>
        <v>4.2694750574457492E-2</v>
      </c>
      <c r="E7" s="141">
        <v>146568.61473240342</v>
      </c>
      <c r="F7" s="28">
        <f t="shared" si="1"/>
        <v>2.5662691389733785E-2</v>
      </c>
      <c r="G7" s="141">
        <v>120944.95384540105</v>
      </c>
      <c r="H7" s="28">
        <f t="shared" si="2"/>
        <v>2.4947559004679445E-2</v>
      </c>
      <c r="I7" s="141">
        <v>330832.62712712865</v>
      </c>
      <c r="J7" s="28">
        <f t="shared" si="3"/>
        <v>4.8710767671055356E-3</v>
      </c>
      <c r="K7" s="141">
        <v>119096.3756660433</v>
      </c>
      <c r="L7" s="28">
        <f t="shared" si="4"/>
        <v>2.2071973379142549E-3</v>
      </c>
    </row>
    <row r="8" spans="2:32" x14ac:dyDescent="0.2">
      <c r="B8" s="25" t="s">
        <v>52</v>
      </c>
      <c r="C8" s="141">
        <v>5200.2909236349478</v>
      </c>
      <c r="D8" s="28">
        <f t="shared" si="0"/>
        <v>6.9163390108686384E-2</v>
      </c>
      <c r="E8" s="141">
        <v>268555.70564530481</v>
      </c>
      <c r="F8" s="28">
        <f t="shared" si="1"/>
        <v>4.7021405008912796E-2</v>
      </c>
      <c r="G8" s="141">
        <v>222329.15336283122</v>
      </c>
      <c r="H8" s="28">
        <f t="shared" si="2"/>
        <v>4.5860281852433536E-2</v>
      </c>
      <c r="I8" s="141">
        <v>891061.51786795096</v>
      </c>
      <c r="J8" s="28">
        <f t="shared" si="3"/>
        <v>1.3119712815025582E-2</v>
      </c>
      <c r="K8" s="141">
        <v>385705.2590182586</v>
      </c>
      <c r="L8" s="28">
        <f t="shared" si="4"/>
        <v>7.1482244204628528E-3</v>
      </c>
    </row>
    <row r="9" spans="2:32" x14ac:dyDescent="0.2">
      <c r="B9" s="25" t="s">
        <v>53</v>
      </c>
      <c r="C9" s="141">
        <v>12078.169539613189</v>
      </c>
      <c r="D9" s="28">
        <f t="shared" si="0"/>
        <v>0.16063854194588162</v>
      </c>
      <c r="E9" s="141">
        <v>718168.38221629208</v>
      </c>
      <c r="F9" s="28">
        <f t="shared" si="1"/>
        <v>0.125744065960709</v>
      </c>
      <c r="G9" s="141">
        <v>597505.70403571613</v>
      </c>
      <c r="H9" s="28">
        <f t="shared" si="2"/>
        <v>0.12324870391961687</v>
      </c>
      <c r="I9" s="141">
        <v>3889274.0467319773</v>
      </c>
      <c r="J9" s="28">
        <f t="shared" si="3"/>
        <v>5.7264462137413999E-2</v>
      </c>
      <c r="K9" s="141">
        <v>2073219.9906585091</v>
      </c>
      <c r="L9" s="28">
        <f t="shared" si="4"/>
        <v>3.8422711175725446E-2</v>
      </c>
      <c r="P9" s="67"/>
      <c r="Q9" s="68"/>
      <c r="R9" s="68"/>
      <c r="S9" s="68"/>
      <c r="T9" s="68"/>
    </row>
    <row r="10" spans="2:32" x14ac:dyDescent="0.2">
      <c r="B10" s="25" t="s">
        <v>54</v>
      </c>
      <c r="C10" s="141">
        <v>15284.207671530063</v>
      </c>
      <c r="D10" s="28">
        <f t="shared" si="0"/>
        <v>0.20327855368316661</v>
      </c>
      <c r="E10" s="141">
        <v>998367.14516705705</v>
      </c>
      <c r="F10" s="28">
        <f t="shared" si="1"/>
        <v>0.17480405328827525</v>
      </c>
      <c r="G10" s="141">
        <v>837256.28538408922</v>
      </c>
      <c r="H10" s="28">
        <f t="shared" si="2"/>
        <v>0.17270253877940148</v>
      </c>
      <c r="I10" s="141">
        <v>8165111.0980783049</v>
      </c>
      <c r="J10" s="28">
        <f t="shared" si="3"/>
        <v>0.12022055779704376</v>
      </c>
      <c r="K10" s="141">
        <v>5628565.0835694056</v>
      </c>
      <c r="L10" s="28">
        <f t="shared" si="4"/>
        <v>0.10431345034014884</v>
      </c>
      <c r="O10" s="69"/>
      <c r="P10" s="68"/>
      <c r="Q10" s="70"/>
      <c r="R10" s="70"/>
      <c r="S10" s="70"/>
      <c r="T10" s="70"/>
    </row>
    <row r="11" spans="2:32" x14ac:dyDescent="0.2">
      <c r="B11" s="25" t="s">
        <v>55</v>
      </c>
      <c r="C11" s="141">
        <v>10447.997255339691</v>
      </c>
      <c r="D11" s="28">
        <f t="shared" si="0"/>
        <v>0.13895740077565522</v>
      </c>
      <c r="E11" s="141">
        <v>767492.43346158892</v>
      </c>
      <c r="F11" s="28">
        <f t="shared" si="1"/>
        <v>0.13438021161515534</v>
      </c>
      <c r="G11" s="141">
        <v>652677.49105016282</v>
      </c>
      <c r="H11" s="28">
        <f t="shared" si="2"/>
        <v>0.13462909944811419</v>
      </c>
      <c r="I11" s="141">
        <v>8219013.5158201177</v>
      </c>
      <c r="J11" s="28">
        <f t="shared" si="3"/>
        <v>0.1210142002410584</v>
      </c>
      <c r="K11" s="141">
        <v>6430519.7073548827</v>
      </c>
      <c r="L11" s="28">
        <f t="shared" si="4"/>
        <v>0.11917596904273951</v>
      </c>
      <c r="O11" s="69"/>
      <c r="P11" s="68"/>
      <c r="Q11" s="70"/>
      <c r="R11" s="70"/>
      <c r="S11" s="70"/>
      <c r="T11" s="70"/>
    </row>
    <row r="12" spans="2:32" x14ac:dyDescent="0.2">
      <c r="B12" s="25" t="s">
        <v>56</v>
      </c>
      <c r="C12" s="141">
        <v>6314.3643925006763</v>
      </c>
      <c r="D12" s="28">
        <f t="shared" si="0"/>
        <v>8.3980464589403808E-2</v>
      </c>
      <c r="E12" s="141">
        <v>511170.21440825565</v>
      </c>
      <c r="F12" s="28">
        <f t="shared" si="1"/>
        <v>8.9500767159007497E-2</v>
      </c>
      <c r="G12" s="141">
        <v>436101.00227374618</v>
      </c>
      <c r="H12" s="28">
        <f t="shared" si="2"/>
        <v>8.9955431295886415E-2</v>
      </c>
      <c r="I12" s="141">
        <v>6646731.9345626561</v>
      </c>
      <c r="J12" s="28">
        <f t="shared" si="3"/>
        <v>9.7864414960454338E-2</v>
      </c>
      <c r="K12" s="141">
        <v>5454831.9270444429</v>
      </c>
      <c r="L12" s="28">
        <f t="shared" si="4"/>
        <v>0.10109367678747078</v>
      </c>
      <c r="O12" s="69"/>
      <c r="P12" s="68"/>
      <c r="Q12" s="70"/>
      <c r="R12" s="70"/>
      <c r="S12" s="70"/>
      <c r="T12" s="70"/>
    </row>
    <row r="13" spans="2:32" x14ac:dyDescent="0.2">
      <c r="B13" s="25" t="s">
        <v>57</v>
      </c>
      <c r="C13" s="141">
        <v>12297.709507512083</v>
      </c>
      <c r="D13" s="28">
        <f t="shared" si="0"/>
        <v>0.16355840328964391</v>
      </c>
      <c r="E13" s="141">
        <v>1414941.5411179324</v>
      </c>
      <c r="F13" s="28">
        <f t="shared" si="1"/>
        <v>0.24774204334617433</v>
      </c>
      <c r="G13" s="141">
        <v>1215585.147282389</v>
      </c>
      <c r="H13" s="28">
        <f t="shared" si="2"/>
        <v>0.25074119442638076</v>
      </c>
      <c r="I13" s="141">
        <v>26057900.399000689</v>
      </c>
      <c r="J13" s="28">
        <f t="shared" si="3"/>
        <v>0.38366842573948146</v>
      </c>
      <c r="K13" s="141">
        <v>22127647.748321563</v>
      </c>
      <c r="L13" s="28">
        <f t="shared" si="4"/>
        <v>0.41008876157030677</v>
      </c>
      <c r="O13" s="69"/>
      <c r="P13" s="68"/>
      <c r="Q13" s="70"/>
      <c r="R13" s="70"/>
      <c r="S13" s="70"/>
      <c r="T13" s="70"/>
    </row>
    <row r="14" spans="2:32" x14ac:dyDescent="0.2">
      <c r="B14" s="25" t="s">
        <v>58</v>
      </c>
      <c r="C14" s="141">
        <v>530.33772230566331</v>
      </c>
      <c r="D14" s="28">
        <f t="shared" si="0"/>
        <v>7.0534428392209801E-3</v>
      </c>
      <c r="E14" s="141">
        <v>156778.50919800252</v>
      </c>
      <c r="F14" s="28">
        <f t="shared" si="1"/>
        <v>2.7450341298759597E-2</v>
      </c>
      <c r="G14" s="141">
        <v>136844.7335884046</v>
      </c>
      <c r="H14" s="28">
        <f t="shared" si="2"/>
        <v>2.8227238567061379E-2</v>
      </c>
      <c r="I14" s="141">
        <v>4112432.9176097675</v>
      </c>
      <c r="J14" s="28">
        <f t="shared" si="3"/>
        <v>6.0550183986391726E-2</v>
      </c>
      <c r="K14" s="141">
        <v>3559727.9173703217</v>
      </c>
      <c r="L14" s="28">
        <f t="shared" si="4"/>
        <v>6.5971965468962793E-2</v>
      </c>
      <c r="O14" s="69"/>
      <c r="P14" s="68"/>
      <c r="Q14" s="70"/>
      <c r="R14" s="70"/>
      <c r="S14" s="70"/>
      <c r="T14" s="70"/>
    </row>
    <row r="15" spans="2:32" x14ac:dyDescent="0.2">
      <c r="B15" s="100" t="s">
        <v>50</v>
      </c>
      <c r="C15" s="141">
        <v>244.89547324745087</v>
      </c>
      <c r="D15" s="28">
        <f t="shared" si="0"/>
        <v>3.2570872285401817E-3</v>
      </c>
      <c r="E15" s="141">
        <v>315456.69137137436</v>
      </c>
      <c r="F15" s="28">
        <f t="shared" si="1"/>
        <v>5.5233296243335027E-2</v>
      </c>
      <c r="G15" s="141">
        <v>293647.20942074823</v>
      </c>
      <c r="H15" s="28">
        <f t="shared" si="2"/>
        <v>6.0571200787325301E-2</v>
      </c>
      <c r="I15" s="141">
        <v>8740534.2320108246</v>
      </c>
      <c r="J15" s="28">
        <f t="shared" si="3"/>
        <v>0.1286929091587995</v>
      </c>
      <c r="K15" s="141">
        <v>8121330.8259845255</v>
      </c>
      <c r="L15" s="28">
        <f t="shared" si="4"/>
        <v>0.15051154730097213</v>
      </c>
      <c r="O15" s="69"/>
      <c r="P15" s="68"/>
      <c r="Q15" s="70"/>
      <c r="R15" s="70"/>
      <c r="S15" s="70"/>
      <c r="T15" s="70"/>
    </row>
    <row r="16" spans="2:32" x14ac:dyDescent="0.2">
      <c r="B16" s="10" t="s">
        <v>0</v>
      </c>
      <c r="C16" s="96">
        <f>SUM(C5:C15)</f>
        <v>75188.490839777849</v>
      </c>
      <c r="D16" s="29">
        <f t="shared" ref="D16:L16" si="5">SUM(D5:D15)</f>
        <v>0.99999999999999989</v>
      </c>
      <c r="E16" s="96">
        <f t="shared" si="5"/>
        <v>5711350.0882077152</v>
      </c>
      <c r="F16" s="29">
        <f t="shared" si="5"/>
        <v>0.99999999999999989</v>
      </c>
      <c r="G16" s="96">
        <f t="shared" si="5"/>
        <v>4847967.4433364505</v>
      </c>
      <c r="H16" s="29">
        <f t="shared" si="5"/>
        <v>0.99999999999999989</v>
      </c>
      <c r="I16" s="96">
        <f t="shared" si="5"/>
        <v>67917760.886308968</v>
      </c>
      <c r="J16" s="29">
        <f t="shared" si="5"/>
        <v>0.99999999999999989</v>
      </c>
      <c r="K16" s="96">
        <f t="shared" si="5"/>
        <v>53958191.059883356</v>
      </c>
      <c r="L16" s="29">
        <f t="shared" si="5"/>
        <v>1.0000000000000002</v>
      </c>
      <c r="O16" s="69"/>
      <c r="P16" s="68"/>
      <c r="Q16" s="70"/>
      <c r="R16" s="70"/>
      <c r="S16" s="70"/>
      <c r="T16" s="70"/>
    </row>
    <row r="17" spans="2:20" x14ac:dyDescent="0.2">
      <c r="O17" s="69"/>
      <c r="P17" s="68"/>
      <c r="Q17" s="70"/>
      <c r="R17" s="70"/>
      <c r="S17" s="70"/>
      <c r="T17" s="70"/>
    </row>
    <row r="18" spans="2:20" x14ac:dyDescent="0.2">
      <c r="B18" s="261" t="s">
        <v>459</v>
      </c>
      <c r="C18" s="260"/>
      <c r="D18" s="260"/>
      <c r="E18" s="260"/>
      <c r="F18" s="260"/>
      <c r="G18" s="260"/>
      <c r="H18" s="260"/>
      <c r="I18" s="260"/>
      <c r="J18" s="260"/>
      <c r="K18" s="260"/>
      <c r="L18" s="260"/>
      <c r="O18" s="69"/>
      <c r="P18" s="68"/>
      <c r="Q18" s="70"/>
      <c r="R18" s="70"/>
      <c r="S18" s="70"/>
      <c r="T18" s="70"/>
    </row>
    <row r="19" spans="2:20" x14ac:dyDescent="0.2">
      <c r="O19" s="69"/>
      <c r="P19" s="52"/>
      <c r="Q19" s="52"/>
      <c r="R19" s="52"/>
      <c r="S19" s="52"/>
      <c r="T19" s="52"/>
    </row>
    <row r="20" spans="2:20" x14ac:dyDescent="0.2">
      <c r="O20" s="69"/>
      <c r="P20" s="62"/>
      <c r="Q20" s="62"/>
      <c r="R20" s="62"/>
      <c r="S20" s="62"/>
      <c r="T20" s="62"/>
    </row>
    <row r="21" spans="2:20" x14ac:dyDescent="0.2">
      <c r="O21" s="69"/>
    </row>
    <row r="22" spans="2:20" x14ac:dyDescent="0.2">
      <c r="O22" s="69"/>
    </row>
    <row r="23" spans="2:20" x14ac:dyDescent="0.2">
      <c r="O23" s="69"/>
    </row>
    <row r="24" spans="2:20" x14ac:dyDescent="0.2">
      <c r="O24" s="69"/>
    </row>
    <row r="25" spans="2:20" x14ac:dyDescent="0.2">
      <c r="O25" s="69"/>
    </row>
    <row r="26" spans="2:20" x14ac:dyDescent="0.2">
      <c r="O26" s="69"/>
    </row>
    <row r="27" spans="2:20" x14ac:dyDescent="0.2">
      <c r="O27" s="69"/>
    </row>
    <row r="28" spans="2:20" x14ac:dyDescent="0.2">
      <c r="O28" s="69"/>
    </row>
    <row r="29" spans="2:20" x14ac:dyDescent="0.2">
      <c r="O29" s="69"/>
    </row>
    <row r="31" spans="2:20" x14ac:dyDescent="0.2">
      <c r="P31" s="62"/>
      <c r="Q31" s="62"/>
      <c r="R31" s="62"/>
      <c r="S31" s="62"/>
      <c r="T31" s="62"/>
    </row>
    <row r="32" spans="2:20" x14ac:dyDescent="0.2">
      <c r="P32" s="62"/>
      <c r="Q32" s="62"/>
      <c r="R32" s="62"/>
      <c r="S32" s="62"/>
      <c r="T32" s="62"/>
    </row>
    <row r="33" spans="16:20" x14ac:dyDescent="0.2">
      <c r="P33" s="62"/>
      <c r="Q33" s="62"/>
      <c r="R33" s="62"/>
      <c r="S33" s="62"/>
      <c r="T33" s="62"/>
    </row>
    <row r="34" spans="16:20" x14ac:dyDescent="0.2">
      <c r="Q34" s="62"/>
      <c r="R34" s="62"/>
      <c r="S34" s="62"/>
      <c r="T34" s="62"/>
    </row>
    <row r="35" spans="16:20" x14ac:dyDescent="0.2">
      <c r="Q35" s="62"/>
      <c r="R35" s="62"/>
      <c r="S35" s="62"/>
      <c r="T35" s="62"/>
    </row>
    <row r="36" spans="16:20" x14ac:dyDescent="0.2">
      <c r="Q36" s="62"/>
      <c r="R36" s="62"/>
      <c r="S36" s="62"/>
      <c r="T36" s="62"/>
    </row>
    <row r="37" spans="16:20" x14ac:dyDescent="0.2">
      <c r="Q37" s="62"/>
      <c r="R37" s="62"/>
      <c r="S37" s="62"/>
      <c r="T37" s="62"/>
    </row>
    <row r="38" spans="16:20" x14ac:dyDescent="0.2">
      <c r="Q38" s="62"/>
      <c r="R38" s="62"/>
      <c r="S38" s="62"/>
      <c r="T38" s="62"/>
    </row>
    <row r="39" spans="16:20" x14ac:dyDescent="0.2">
      <c r="Q39" s="62"/>
      <c r="R39" s="62"/>
      <c r="S39" s="62"/>
      <c r="T39" s="62"/>
    </row>
    <row r="40" spans="16:20" x14ac:dyDescent="0.2">
      <c r="Q40" s="62"/>
      <c r="R40" s="62"/>
      <c r="S40" s="62"/>
      <c r="T40" s="62"/>
    </row>
    <row r="41" spans="16:20" x14ac:dyDescent="0.2">
      <c r="Q41" s="62"/>
      <c r="R41" s="62"/>
      <c r="S41" s="62"/>
      <c r="T41" s="62"/>
    </row>
    <row r="42" spans="16:20" x14ac:dyDescent="0.2">
      <c r="Q42" s="62"/>
      <c r="R42" s="62"/>
      <c r="S42" s="62"/>
      <c r="T42" s="62"/>
    </row>
    <row r="43" spans="16:20" x14ac:dyDescent="0.2">
      <c r="Q43" s="62"/>
      <c r="R43" s="62"/>
      <c r="S43" s="62"/>
      <c r="T43" s="62"/>
    </row>
    <row r="44" spans="16:20" x14ac:dyDescent="0.2">
      <c r="Q44" s="62"/>
      <c r="R44" s="62"/>
      <c r="S44" s="62"/>
      <c r="T44" s="62"/>
    </row>
    <row r="45" spans="16:20" x14ac:dyDescent="0.2">
      <c r="Q45" s="62"/>
      <c r="R45" s="62"/>
      <c r="S45" s="62"/>
      <c r="T45" s="62"/>
    </row>
  </sheetData>
  <mergeCells count="7">
    <mergeCell ref="B18:L18"/>
    <mergeCell ref="B3:B4"/>
    <mergeCell ref="C3:D3"/>
    <mergeCell ref="E3:F3"/>
    <mergeCell ref="G3:H3"/>
    <mergeCell ref="I3:J3"/>
    <mergeCell ref="K3:L3"/>
  </mergeCells>
  <pageMargins left="0.78740157480314965" right="0.78740157480314965" top="0.98425196850393704" bottom="0.98425196850393704" header="0.51181102362204722" footer="0.51181102362204722"/>
  <pageSetup paperSize="9" scale="88"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0C9BD"/>
    <pageSetUpPr fitToPage="1"/>
  </sheetPr>
  <dimension ref="B1:Y40"/>
  <sheetViews>
    <sheetView view="pageBreakPreview" zoomScaleNormal="100" zoomScaleSheetLayoutView="100" workbookViewId="0"/>
  </sheetViews>
  <sheetFormatPr baseColWidth="10" defaultRowHeight="12.75" x14ac:dyDescent="0.2"/>
  <cols>
    <col min="1" max="1" width="2" style="81" customWidth="1"/>
    <col min="2" max="2" width="41.28515625" style="81" customWidth="1"/>
    <col min="3" max="6" width="16.7109375" style="81" customWidth="1"/>
    <col min="7" max="7" width="12.7109375" style="81" customWidth="1"/>
    <col min="8" max="16384" width="11.42578125" style="81"/>
  </cols>
  <sheetData>
    <row r="1" spans="2:25" s="11" customFormat="1" ht="15.75" x14ac:dyDescent="0.2">
      <c r="B1" s="213" t="str">
        <f>Inhaltsverzeichnis!B49&amp;" "&amp;Inhaltsverzeichnis!C49&amp;" "&amp;Inhaltsverzeichnis!E49</f>
        <v>Tabelle 18: Zusammensetzung des Reineinkommens und des Reinvermögens der Altersrentnerinnen- und rentner nach Zivilstand und Altersklasse, 2013</v>
      </c>
      <c r="C1" s="214"/>
      <c r="D1" s="214"/>
      <c r="E1" s="214"/>
      <c r="F1" s="214"/>
      <c r="G1" s="214"/>
      <c r="H1" s="214"/>
      <c r="I1" s="214"/>
      <c r="J1" s="214"/>
      <c r="K1" s="214"/>
      <c r="L1" s="214"/>
      <c r="M1" s="214"/>
      <c r="N1" s="214"/>
      <c r="O1" s="214"/>
      <c r="P1" s="214"/>
      <c r="Q1" s="78"/>
      <c r="R1" s="78"/>
      <c r="S1" s="78"/>
      <c r="T1" s="78"/>
      <c r="U1" s="78"/>
      <c r="V1" s="78"/>
      <c r="W1" s="78"/>
      <c r="X1" s="78"/>
      <c r="Y1" s="78"/>
    </row>
    <row r="3" spans="2:25" x14ac:dyDescent="0.2">
      <c r="B3" s="252" t="s">
        <v>608</v>
      </c>
      <c r="C3" s="293" t="s">
        <v>113</v>
      </c>
      <c r="D3" s="297"/>
      <c r="E3" s="293" t="s">
        <v>68</v>
      </c>
      <c r="F3" s="237"/>
      <c r="G3" s="238" t="s">
        <v>0</v>
      </c>
    </row>
    <row r="4" spans="2:25" s="45" customFormat="1" x14ac:dyDescent="0.2">
      <c r="B4" s="269"/>
      <c r="C4" s="298"/>
      <c r="D4" s="299"/>
      <c r="E4" s="298"/>
      <c r="F4" s="300"/>
      <c r="G4" s="279"/>
    </row>
    <row r="5" spans="2:25" s="45" customFormat="1" x14ac:dyDescent="0.2">
      <c r="B5" s="115"/>
      <c r="C5" s="47" t="s">
        <v>114</v>
      </c>
      <c r="D5" s="79" t="s">
        <v>115</v>
      </c>
      <c r="E5" s="47" t="s">
        <v>114</v>
      </c>
      <c r="F5" s="79" t="s">
        <v>115</v>
      </c>
      <c r="G5" s="269"/>
    </row>
    <row r="6" spans="2:25" s="45" customFormat="1" ht="12.75" customHeight="1" x14ac:dyDescent="0.2">
      <c r="B6" s="84" t="s">
        <v>442</v>
      </c>
      <c r="C6" s="132">
        <v>24228.678044284719</v>
      </c>
      <c r="D6" s="132">
        <v>15038.737654817445</v>
      </c>
      <c r="E6" s="132">
        <v>29146.761639400425</v>
      </c>
      <c r="F6" s="132">
        <v>6774.3135012739513</v>
      </c>
      <c r="G6" s="132">
        <v>75188.490839776001</v>
      </c>
    </row>
    <row r="7" spans="2:25" x14ac:dyDescent="0.2">
      <c r="B7" s="262" t="s">
        <v>606</v>
      </c>
      <c r="C7" s="263"/>
      <c r="D7" s="263"/>
      <c r="E7" s="263"/>
      <c r="F7" s="263"/>
      <c r="G7" s="264"/>
      <c r="H7" s="106"/>
      <c r="I7" s="106"/>
      <c r="J7" s="106"/>
      <c r="K7" s="106"/>
    </row>
    <row r="8" spans="2:25" x14ac:dyDescent="0.2">
      <c r="B8" s="108" t="s">
        <v>70</v>
      </c>
      <c r="C8" s="211">
        <v>3663.5432488771944</v>
      </c>
      <c r="D8" s="211">
        <v>262.67131327765395</v>
      </c>
      <c r="E8" s="211">
        <v>8124.8998546157218</v>
      </c>
      <c r="F8" s="211">
        <v>790.33443867846574</v>
      </c>
      <c r="G8" s="211">
        <v>4453.8937245962043</v>
      </c>
    </row>
    <row r="9" spans="2:25" x14ac:dyDescent="0.2">
      <c r="B9" s="108" t="s">
        <v>71</v>
      </c>
      <c r="C9" s="211">
        <v>0</v>
      </c>
      <c r="D9" s="211">
        <v>0</v>
      </c>
      <c r="E9" s="211">
        <v>7195.5817439765387</v>
      </c>
      <c r="F9" s="211">
        <v>678.4609495438724</v>
      </c>
      <c r="G9" s="211">
        <v>2850.489625809957</v>
      </c>
    </row>
    <row r="10" spans="2:25" x14ac:dyDescent="0.2">
      <c r="B10" s="108" t="s">
        <v>72</v>
      </c>
      <c r="C10" s="211">
        <v>1325.9775574981911</v>
      </c>
      <c r="D10" s="211">
        <v>138.14409639629378</v>
      </c>
      <c r="E10" s="211">
        <v>3280.0993940813291</v>
      </c>
      <c r="F10" s="211">
        <v>663.82227573118053</v>
      </c>
      <c r="G10" s="211">
        <v>1786.2495982636844</v>
      </c>
    </row>
    <row r="11" spans="2:25" x14ac:dyDescent="0.2">
      <c r="B11" s="108" t="s">
        <v>73</v>
      </c>
      <c r="C11" s="211">
        <v>0</v>
      </c>
      <c r="D11" s="211">
        <v>0</v>
      </c>
      <c r="E11" s="211">
        <v>704.57574912113273</v>
      </c>
      <c r="F11" s="211">
        <v>229.11026500809567</v>
      </c>
      <c r="G11" s="211">
        <v>293.77057487601871</v>
      </c>
    </row>
    <row r="12" spans="2:25" x14ac:dyDescent="0.2">
      <c r="B12" s="109" t="s">
        <v>94</v>
      </c>
      <c r="C12" s="211">
        <v>37877.401132724619</v>
      </c>
      <c r="D12" s="211">
        <v>36082.833487741867</v>
      </c>
      <c r="E12" s="211">
        <v>43693.656052935883</v>
      </c>
      <c r="F12" s="211">
        <v>39345.5936048082</v>
      </c>
      <c r="G12" s="211">
        <v>39905.410448508454</v>
      </c>
    </row>
    <row r="13" spans="2:25" x14ac:dyDescent="0.2">
      <c r="B13" s="109" t="s">
        <v>74</v>
      </c>
      <c r="C13" s="211">
        <v>0</v>
      </c>
      <c r="D13" s="211">
        <v>0</v>
      </c>
      <c r="E13" s="211">
        <v>17383.604789948</v>
      </c>
      <c r="F13" s="211">
        <v>21304.047584289383</v>
      </c>
      <c r="G13" s="211">
        <v>8658.1879109057281</v>
      </c>
    </row>
    <row r="14" spans="2:25" x14ac:dyDescent="0.2">
      <c r="B14" s="109" t="s">
        <v>75</v>
      </c>
      <c r="C14" s="211">
        <v>4117.7991149668342</v>
      </c>
      <c r="D14" s="211">
        <v>4815.7536406799445</v>
      </c>
      <c r="E14" s="211">
        <v>13031.032161363109</v>
      </c>
      <c r="F14" s="211">
        <v>8329.2869968645318</v>
      </c>
      <c r="G14" s="211">
        <v>8092.053285096551</v>
      </c>
    </row>
    <row r="15" spans="2:25" x14ac:dyDescent="0.2">
      <c r="B15" s="109" t="s">
        <v>76</v>
      </c>
      <c r="C15" s="211">
        <v>6882.83918783832</v>
      </c>
      <c r="D15" s="211">
        <v>6276.1600272030237</v>
      </c>
      <c r="E15" s="211">
        <v>12906.379979130232</v>
      </c>
      <c r="F15" s="211">
        <v>11331.622547401446</v>
      </c>
      <c r="G15" s="211">
        <v>9497.3413531684055</v>
      </c>
    </row>
    <row r="16" spans="2:25" x14ac:dyDescent="0.2">
      <c r="B16" s="109" t="s">
        <v>77</v>
      </c>
      <c r="C16" s="211">
        <v>597.96002410927997</v>
      </c>
      <c r="D16" s="211">
        <v>207.56934598214423</v>
      </c>
      <c r="E16" s="211">
        <v>191.03957618873525</v>
      </c>
      <c r="F16" s="211">
        <v>195.41633004594661</v>
      </c>
      <c r="G16" s="211">
        <v>325.86580801282201</v>
      </c>
    </row>
    <row r="17" spans="2:22" ht="14.25" x14ac:dyDescent="0.2">
      <c r="B17" s="10" t="s">
        <v>446</v>
      </c>
      <c r="C17" s="212">
        <v>54547.706938334726</v>
      </c>
      <c r="D17" s="212">
        <v>47822.387344717346</v>
      </c>
      <c r="E17" s="212">
        <v>106664.28712141051</v>
      </c>
      <c r="F17" s="212">
        <v>82904.98648612434</v>
      </c>
      <c r="G17" s="212">
        <v>75960.429906461286</v>
      </c>
    </row>
    <row r="18" spans="2:22" x14ac:dyDescent="0.2">
      <c r="B18" s="256" t="s">
        <v>79</v>
      </c>
      <c r="C18" s="257"/>
      <c r="D18" s="257"/>
      <c r="E18" s="257"/>
      <c r="F18" s="257"/>
      <c r="G18" s="257"/>
    </row>
    <row r="19" spans="2:22" x14ac:dyDescent="0.2">
      <c r="B19" s="109" t="s">
        <v>80</v>
      </c>
      <c r="C19" s="33">
        <v>409.2548700269009</v>
      </c>
      <c r="D19" s="33">
        <v>26.31645661128805</v>
      </c>
      <c r="E19" s="33">
        <v>1564.2456387838333</v>
      </c>
      <c r="F19" s="33">
        <v>173.00036149286206</v>
      </c>
      <c r="G19" s="33">
        <v>759.10719309736271</v>
      </c>
    </row>
    <row r="20" spans="2:22" x14ac:dyDescent="0.2">
      <c r="B20" s="109" t="s">
        <v>81</v>
      </c>
      <c r="C20" s="33">
        <v>2762.3905813055871</v>
      </c>
      <c r="D20" s="33">
        <v>1171.2385052520069</v>
      </c>
      <c r="E20" s="33">
        <v>6023.3871957142746</v>
      </c>
      <c r="F20" s="33">
        <v>2529.8561064687569</v>
      </c>
      <c r="G20" s="33">
        <v>3687.3102089939598</v>
      </c>
    </row>
    <row r="21" spans="2:22" x14ac:dyDescent="0.2">
      <c r="B21" s="109" t="s">
        <v>82</v>
      </c>
      <c r="C21" s="33">
        <v>191.94750112942353</v>
      </c>
      <c r="D21" s="33">
        <v>0</v>
      </c>
      <c r="E21" s="33">
        <v>1327.065298645259</v>
      </c>
      <c r="F21" s="33">
        <v>46.918143766227381</v>
      </c>
      <c r="G21" s="33">
        <v>580.51608528209022</v>
      </c>
    </row>
    <row r="22" spans="2:22" x14ac:dyDescent="0.2">
      <c r="B22" s="109" t="s">
        <v>83</v>
      </c>
      <c r="C22" s="33">
        <v>2001.9777082728069</v>
      </c>
      <c r="D22" s="33">
        <v>2000.2796826165165</v>
      </c>
      <c r="E22" s="33">
        <v>3998.9125718182277</v>
      </c>
      <c r="F22" s="33">
        <v>3998.3012342155962</v>
      </c>
      <c r="G22" s="33">
        <v>2955.6126187312466</v>
      </c>
    </row>
    <row r="23" spans="2:22" x14ac:dyDescent="0.2">
      <c r="B23" s="109" t="s">
        <v>84</v>
      </c>
      <c r="C23" s="33">
        <v>2787.6199857160805</v>
      </c>
      <c r="D23" s="33">
        <v>7693.2949704085631</v>
      </c>
      <c r="E23" s="33">
        <v>2702.7722648142644</v>
      </c>
      <c r="F23" s="33">
        <v>5571.4000635910497</v>
      </c>
      <c r="G23" s="33">
        <v>3986.7439577090818</v>
      </c>
    </row>
    <row r="24" spans="2:22" x14ac:dyDescent="0.2">
      <c r="B24" s="10" t="s">
        <v>91</v>
      </c>
      <c r="C24" s="31">
        <v>8153.1906464508793</v>
      </c>
      <c r="D24" s="31">
        <v>10891.129614888285</v>
      </c>
      <c r="E24" s="31">
        <v>15616.382969775917</v>
      </c>
      <c r="F24" s="31">
        <v>12319.475909534514</v>
      </c>
      <c r="G24" s="31">
        <v>11969.290063813629</v>
      </c>
    </row>
    <row r="25" spans="2:22" x14ac:dyDescent="0.2">
      <c r="B25" s="256" t="s">
        <v>30</v>
      </c>
      <c r="C25" s="257"/>
      <c r="D25" s="257"/>
      <c r="E25" s="257"/>
      <c r="F25" s="257"/>
      <c r="G25" s="257"/>
    </row>
    <row r="26" spans="2:22" ht="14.25" x14ac:dyDescent="0.2">
      <c r="B26" s="10" t="s">
        <v>445</v>
      </c>
      <c r="C26" s="31">
        <v>46753.755476805098</v>
      </c>
      <c r="D26" s="31">
        <v>38393.235488032697</v>
      </c>
      <c r="E26" s="31">
        <v>91159.377730906199</v>
      </c>
      <c r="F26" s="31">
        <v>70973.878651181702</v>
      </c>
      <c r="G26" s="31">
        <v>64477.520285213097</v>
      </c>
    </row>
    <row r="27" spans="2:22" x14ac:dyDescent="0.2">
      <c r="B27" s="256" t="s">
        <v>607</v>
      </c>
      <c r="C27" s="257"/>
      <c r="D27" s="257"/>
      <c r="E27" s="257"/>
      <c r="F27" s="257"/>
      <c r="G27" s="257"/>
    </row>
    <row r="28" spans="2:22" x14ac:dyDescent="0.2">
      <c r="B28" s="109" t="s">
        <v>85</v>
      </c>
      <c r="C28" s="33">
        <v>308411.55854289309</v>
      </c>
      <c r="D28" s="33">
        <v>541961.29524778365</v>
      </c>
      <c r="E28" s="33">
        <v>584268.53489697294</v>
      </c>
      <c r="F28" s="33">
        <v>598159.29933307972</v>
      </c>
      <c r="G28" s="33">
        <v>488166.1012589382</v>
      </c>
    </row>
    <row r="29" spans="2:22" x14ac:dyDescent="0.2">
      <c r="B29" s="109" t="s">
        <v>86</v>
      </c>
      <c r="C29" s="33">
        <v>13056.807043855604</v>
      </c>
      <c r="D29" s="33">
        <v>2724.3815760506386</v>
      </c>
      <c r="E29" s="33">
        <v>25542.953904961123</v>
      </c>
      <c r="F29" s="33">
        <v>7974.5967916210675</v>
      </c>
      <c r="G29" s="33">
        <v>15372.528811033439</v>
      </c>
    </row>
    <row r="30" spans="2:22" x14ac:dyDescent="0.2">
      <c r="B30" s="109" t="s">
        <v>87</v>
      </c>
      <c r="C30" s="33">
        <v>258676.5036811684</v>
      </c>
      <c r="D30" s="33">
        <v>224529.06345257847</v>
      </c>
      <c r="E30" s="33">
        <v>530426.49309857469</v>
      </c>
      <c r="F30" s="33">
        <v>420121.50433419662</v>
      </c>
      <c r="G30" s="33">
        <v>371736.0520850562</v>
      </c>
    </row>
    <row r="31" spans="2:22" x14ac:dyDescent="0.2">
      <c r="B31" s="109" t="s">
        <v>88</v>
      </c>
      <c r="C31" s="33">
        <v>9859.9262439099166</v>
      </c>
      <c r="D31" s="33">
        <v>5269.4319037871255</v>
      </c>
      <c r="E31" s="33">
        <v>26972.814709967617</v>
      </c>
      <c r="F31" s="33">
        <v>17839.359150738052</v>
      </c>
      <c r="G31" s="33">
        <v>16294.491104362553</v>
      </c>
      <c r="L31" s="260"/>
      <c r="M31" s="260"/>
      <c r="N31" s="260"/>
      <c r="O31" s="260"/>
      <c r="P31" s="260"/>
      <c r="Q31" s="260"/>
      <c r="R31" s="260"/>
      <c r="S31" s="260"/>
      <c r="T31" s="260"/>
      <c r="U31" s="260"/>
      <c r="V31" s="260"/>
    </row>
    <row r="32" spans="2:22" x14ac:dyDescent="0.2">
      <c r="B32" s="109" t="s">
        <v>89</v>
      </c>
      <c r="C32" s="33">
        <v>7943.0436029894718</v>
      </c>
      <c r="D32" s="33">
        <v>5096.4407648523329</v>
      </c>
      <c r="E32" s="33">
        <v>18572.937727480243</v>
      </c>
      <c r="F32" s="33">
        <v>10028.423741841154</v>
      </c>
      <c r="G32" s="33">
        <v>11682.242151839926</v>
      </c>
    </row>
    <row r="33" spans="2:22" ht="14.25" x14ac:dyDescent="0.2">
      <c r="B33" s="10" t="s">
        <v>444</v>
      </c>
      <c r="C33" s="31">
        <v>598091.15311645798</v>
      </c>
      <c r="D33" s="31">
        <v>779580.61294505349</v>
      </c>
      <c r="E33" s="31">
        <v>1185789.8346327734</v>
      </c>
      <c r="F33" s="31">
        <v>1054123.1833514762</v>
      </c>
      <c r="G33" s="31">
        <v>903299.96157307667</v>
      </c>
      <c r="K33" s="48"/>
      <c r="L33" s="48"/>
      <c r="M33" s="48"/>
      <c r="N33" s="48"/>
      <c r="O33" s="48"/>
      <c r="P33" s="48"/>
      <c r="Q33" s="48"/>
      <c r="R33" s="48"/>
      <c r="S33" s="48"/>
      <c r="T33" s="48"/>
      <c r="U33" s="48"/>
      <c r="V33" s="48"/>
    </row>
    <row r="34" spans="2:22" x14ac:dyDescent="0.2">
      <c r="B34" s="256" t="s">
        <v>90</v>
      </c>
      <c r="C34" s="257"/>
      <c r="D34" s="257"/>
      <c r="E34" s="257"/>
      <c r="F34" s="257"/>
      <c r="G34" s="257"/>
      <c r="K34" s="48"/>
      <c r="L34" s="48"/>
      <c r="M34" s="48"/>
      <c r="N34" s="48"/>
      <c r="O34" s="48"/>
      <c r="P34" s="48"/>
      <c r="Q34" s="48"/>
      <c r="R34" s="48"/>
      <c r="S34" s="48"/>
      <c r="T34" s="48"/>
      <c r="U34" s="48"/>
      <c r="V34" s="48"/>
    </row>
    <row r="35" spans="2:22" x14ac:dyDescent="0.2">
      <c r="B35" s="10" t="s">
        <v>90</v>
      </c>
      <c r="C35" s="31">
        <v>139063.15975982099</v>
      </c>
      <c r="D35" s="31">
        <v>59427.9974983746</v>
      </c>
      <c r="E35" s="31">
        <v>306410.52612368501</v>
      </c>
      <c r="F35" s="31">
        <v>133433.24848355501</v>
      </c>
      <c r="G35" s="31">
        <v>187499.86410638699</v>
      </c>
      <c r="K35" s="48"/>
      <c r="L35" s="48"/>
      <c r="M35" s="48"/>
      <c r="N35" s="48"/>
      <c r="O35" s="48"/>
      <c r="P35" s="48"/>
      <c r="Q35" s="48"/>
      <c r="R35" s="48"/>
      <c r="S35" s="48"/>
      <c r="T35" s="48"/>
      <c r="U35" s="48"/>
      <c r="V35" s="48"/>
    </row>
    <row r="36" spans="2:22" x14ac:dyDescent="0.2">
      <c r="B36" s="256" t="s">
        <v>32</v>
      </c>
      <c r="C36" s="257"/>
      <c r="D36" s="257"/>
      <c r="E36" s="257"/>
      <c r="F36" s="257"/>
      <c r="G36" s="257"/>
      <c r="K36" s="48"/>
      <c r="L36" s="48"/>
      <c r="M36" s="48"/>
      <c r="N36" s="48"/>
      <c r="O36" s="48"/>
      <c r="P36" s="48"/>
      <c r="Q36" s="48"/>
      <c r="R36" s="48"/>
      <c r="S36" s="48"/>
      <c r="T36" s="48"/>
      <c r="U36" s="48"/>
      <c r="V36" s="48"/>
    </row>
    <row r="37" spans="2:22" ht="14.25" x14ac:dyDescent="0.2">
      <c r="B37" s="10" t="s">
        <v>448</v>
      </c>
      <c r="C37" s="31">
        <v>461063.29600815597</v>
      </c>
      <c r="D37" s="31">
        <v>720677.50390580704</v>
      </c>
      <c r="E37" s="31">
        <v>881894.15038174205</v>
      </c>
      <c r="F37" s="31">
        <v>921834.86848690605</v>
      </c>
      <c r="G37" s="31">
        <v>717638.96917235001</v>
      </c>
      <c r="K37" s="48"/>
      <c r="L37" s="48"/>
      <c r="M37" s="48"/>
      <c r="N37" s="48"/>
      <c r="O37" s="48"/>
      <c r="P37" s="48"/>
      <c r="Q37" s="48"/>
      <c r="R37" s="48"/>
      <c r="S37" s="48"/>
      <c r="T37" s="48"/>
      <c r="U37" s="48"/>
      <c r="V37" s="48"/>
    </row>
    <row r="38" spans="2:22" x14ac:dyDescent="0.2">
      <c r="K38" s="48"/>
      <c r="L38" s="48"/>
      <c r="M38" s="48"/>
      <c r="N38" s="48"/>
      <c r="O38" s="48"/>
      <c r="P38" s="48"/>
      <c r="Q38" s="48"/>
      <c r="R38" s="48"/>
      <c r="S38" s="48"/>
      <c r="T38" s="48"/>
      <c r="U38" s="48"/>
      <c r="V38" s="48"/>
    </row>
    <row r="39" spans="2:22" x14ac:dyDescent="0.2">
      <c r="B39" s="261" t="s">
        <v>459</v>
      </c>
      <c r="C39" s="260"/>
      <c r="D39" s="260"/>
      <c r="E39" s="260"/>
      <c r="F39" s="260"/>
      <c r="G39" s="260"/>
    </row>
    <row r="40" spans="2:22" ht="37.5" customHeight="1" x14ac:dyDescent="0.2">
      <c r="B40" s="258" t="s">
        <v>443</v>
      </c>
      <c r="C40" s="259"/>
      <c r="D40" s="259"/>
      <c r="E40" s="259"/>
      <c r="F40" s="259"/>
      <c r="G40" s="259"/>
    </row>
  </sheetData>
  <mergeCells count="14">
    <mergeCell ref="L31:R31"/>
    <mergeCell ref="S31:V31"/>
    <mergeCell ref="B3:B4"/>
    <mergeCell ref="E3:F4"/>
    <mergeCell ref="G3:G5"/>
    <mergeCell ref="B34:G34"/>
    <mergeCell ref="B36:G36"/>
    <mergeCell ref="B40:G40"/>
    <mergeCell ref="C3:D4"/>
    <mergeCell ref="B7:G7"/>
    <mergeCell ref="B18:G18"/>
    <mergeCell ref="B25:G25"/>
    <mergeCell ref="B27:G27"/>
    <mergeCell ref="B39:G39"/>
  </mergeCells>
  <pageMargins left="0.78740157480314965" right="0.78740157480314965" top="0.98425196850393704" bottom="0.98425196850393704" header="0.51181102362204722" footer="0.51181102362204722"/>
  <pageSetup paperSize="9" scale="78" orientation="landscape" r:id="rId1"/>
  <headerFooter alignWithMargins="0"/>
  <rowBreaks count="1" manualBreakCount="1">
    <brk id="49" max="13" man="1"/>
  </rowBreak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0C9BD"/>
    <pageSetUpPr fitToPage="1"/>
  </sheetPr>
  <dimension ref="B1:AF19"/>
  <sheetViews>
    <sheetView view="pageBreakPreview" zoomScaleNormal="100" zoomScaleSheetLayoutView="100" zoomScalePageLayoutView="70" workbookViewId="0"/>
  </sheetViews>
  <sheetFormatPr baseColWidth="10" defaultRowHeight="12.75" x14ac:dyDescent="0.2"/>
  <cols>
    <col min="1" max="1" width="2" style="81" customWidth="1"/>
    <col min="2" max="2" width="16.28515625" style="81" customWidth="1"/>
    <col min="3" max="3" width="13.140625" style="81" customWidth="1"/>
    <col min="4" max="4" width="10.42578125" style="81" customWidth="1"/>
    <col min="5" max="5" width="12.140625" style="81" customWidth="1"/>
    <col min="6" max="6" width="10.42578125" style="81" customWidth="1"/>
    <col min="7" max="7" width="13.140625" style="81" customWidth="1"/>
    <col min="8" max="8" width="10.42578125" style="81" customWidth="1"/>
    <col min="9" max="9" width="12" style="81" bestFit="1" customWidth="1"/>
    <col min="10" max="10" width="10.42578125" style="81" customWidth="1"/>
    <col min="11" max="11" width="12.140625" style="81" customWidth="1"/>
    <col min="12" max="12" width="10.42578125" style="81" customWidth="1"/>
    <col min="13" max="13" width="12.140625" style="81" customWidth="1"/>
    <col min="14" max="14" width="10.42578125" style="81" customWidth="1"/>
    <col min="15" max="16384" width="11.42578125" style="81"/>
  </cols>
  <sheetData>
    <row r="1" spans="2:32" s="11" customFormat="1" ht="15.75" x14ac:dyDescent="0.2">
      <c r="B1" s="213" t="str">
        <f>Inhaltsverzeichnis!B50&amp;" "&amp;Inhaltsverzeichnis!C50&amp;" "&amp;Inhaltsverzeichnis!E50</f>
        <v>Tabelle 19: Verteilung der Altersrentnerinnen- und rentner, Steuerfaktoren und Steuern nach Stufen des steuerbaren Einkommens, 2013</v>
      </c>
      <c r="C1" s="214"/>
      <c r="D1" s="214"/>
      <c r="E1" s="214"/>
      <c r="F1" s="214"/>
      <c r="G1" s="214"/>
      <c r="H1" s="214"/>
      <c r="I1" s="214"/>
      <c r="J1" s="214"/>
      <c r="K1" s="214"/>
      <c r="L1" s="214"/>
      <c r="M1" s="214"/>
      <c r="N1" s="214"/>
      <c r="O1" s="214"/>
      <c r="P1" s="214"/>
      <c r="Q1" s="214"/>
      <c r="R1" s="214"/>
      <c r="S1" s="214"/>
      <c r="T1" s="78"/>
      <c r="U1" s="78"/>
      <c r="V1" s="78"/>
      <c r="W1" s="78"/>
      <c r="X1" s="78"/>
      <c r="Y1" s="78"/>
      <c r="Z1" s="78"/>
      <c r="AA1" s="78"/>
      <c r="AB1" s="78"/>
      <c r="AC1" s="78"/>
      <c r="AD1" s="78"/>
      <c r="AE1" s="78"/>
      <c r="AF1" s="78"/>
    </row>
    <row r="3" spans="2:32" s="45" customFormat="1" ht="27" customHeight="1" x14ac:dyDescent="0.2">
      <c r="B3" s="248" t="s">
        <v>573</v>
      </c>
      <c r="C3" s="251" t="s">
        <v>441</v>
      </c>
      <c r="D3" s="247"/>
      <c r="E3" s="246" t="s">
        <v>116</v>
      </c>
      <c r="F3" s="250"/>
      <c r="G3" s="246" t="s">
        <v>118</v>
      </c>
      <c r="H3" s="247"/>
      <c r="I3" s="246" t="s">
        <v>130</v>
      </c>
      <c r="J3" s="247"/>
      <c r="K3" s="246" t="s">
        <v>131</v>
      </c>
      <c r="L3" s="247"/>
      <c r="M3" s="246" t="s">
        <v>132</v>
      </c>
      <c r="N3" s="247"/>
    </row>
    <row r="4" spans="2:32" ht="24.75" customHeight="1" x14ac:dyDescent="0.2">
      <c r="B4" s="249"/>
      <c r="C4" s="47" t="s">
        <v>1</v>
      </c>
      <c r="D4" s="47" t="s">
        <v>2</v>
      </c>
      <c r="E4" s="47" t="s">
        <v>3</v>
      </c>
      <c r="F4" s="47" t="s">
        <v>2</v>
      </c>
      <c r="G4" s="47" t="s">
        <v>3</v>
      </c>
      <c r="H4" s="47" t="s">
        <v>2</v>
      </c>
      <c r="I4" s="47" t="s">
        <v>3</v>
      </c>
      <c r="J4" s="47" t="s">
        <v>2</v>
      </c>
      <c r="K4" s="47" t="s">
        <v>3</v>
      </c>
      <c r="L4" s="47" t="s">
        <v>2</v>
      </c>
      <c r="M4" s="47" t="s">
        <v>3</v>
      </c>
      <c r="N4" s="47" t="s">
        <v>2</v>
      </c>
    </row>
    <row r="5" spans="2:32" x14ac:dyDescent="0.2">
      <c r="B5" s="25">
        <v>0</v>
      </c>
      <c r="C5" s="141">
        <v>5318.1524186891011</v>
      </c>
      <c r="D5" s="28">
        <f>C5/SUM($C$5:$C$16)</f>
        <v>6.7374807132378464E-2</v>
      </c>
      <c r="E5" s="141">
        <v>0</v>
      </c>
      <c r="F5" s="28">
        <f>E5/SUM($E$5:$E$16)</f>
        <v>0</v>
      </c>
      <c r="G5" s="141">
        <v>1060101.8049207698</v>
      </c>
      <c r="H5" s="28">
        <f>G5/SUM($G$5:$G$16)</f>
        <v>2.4218534103178476E-2</v>
      </c>
      <c r="I5" s="141">
        <v>0</v>
      </c>
      <c r="J5" s="28">
        <f>I5/SUM($I$5:$I$16)</f>
        <v>0</v>
      </c>
      <c r="K5" s="141">
        <v>1890.2865384570898</v>
      </c>
      <c r="L5" s="28">
        <f>K5/SUM($K$5:$K$16)</f>
        <v>2.3324815101747554E-2</v>
      </c>
      <c r="M5" s="141">
        <v>1890.2865384570898</v>
      </c>
      <c r="N5" s="28">
        <f>M5/SUM($M$5:$M$16)</f>
        <v>5.8324640622232421E-3</v>
      </c>
    </row>
    <row r="6" spans="2:32" x14ac:dyDescent="0.2">
      <c r="B6" s="25" t="s">
        <v>38</v>
      </c>
      <c r="C6" s="141">
        <v>2876.3629204051495</v>
      </c>
      <c r="D6" s="28">
        <f t="shared" ref="D6:D16" si="0">C6/SUM($C$5:$C$16)</f>
        <v>3.6440173531692648E-2</v>
      </c>
      <c r="E6" s="141">
        <v>14367.810885710245</v>
      </c>
      <c r="F6" s="28">
        <f t="shared" ref="F6:F16" si="1">E6/SUM($E$5:$E$16)</f>
        <v>3.0612681582164081E-3</v>
      </c>
      <c r="G6" s="141">
        <v>446799.56753736362</v>
      </c>
      <c r="H6" s="28">
        <f t="shared" ref="H6:H16" si="2">G6/SUM($G$5:$G$16)</f>
        <v>1.0207350382256699E-2</v>
      </c>
      <c r="I6" s="141">
        <v>271.30960438216567</v>
      </c>
      <c r="J6" s="28">
        <f t="shared" ref="J6:J16" si="3">I6/SUM($I$5:$I$16)</f>
        <v>1.116245249183859E-3</v>
      </c>
      <c r="K6" s="141">
        <v>789.29397520405257</v>
      </c>
      <c r="L6" s="28">
        <f t="shared" ref="L6:L16" si="4">K6/SUM($K$5:$K$16)</f>
        <v>9.7393361577788971E-3</v>
      </c>
      <c r="M6" s="141">
        <v>1060.6035795862206</v>
      </c>
      <c r="N6" s="28">
        <f t="shared" ref="N6:N16" si="5">M6/SUM($M$5:$M$16)</f>
        <v>3.2724838993198929E-3</v>
      </c>
    </row>
    <row r="7" spans="2:32" x14ac:dyDescent="0.2">
      <c r="B7" s="25" t="s">
        <v>39</v>
      </c>
      <c r="C7" s="141">
        <v>4349.2163851911546</v>
      </c>
      <c r="D7" s="28">
        <f t="shared" si="0"/>
        <v>5.5099514278581764E-2</v>
      </c>
      <c r="E7" s="141">
        <v>67274.186168352986</v>
      </c>
      <c r="F7" s="28">
        <f t="shared" si="1"/>
        <v>1.4333730143394856E-2</v>
      </c>
      <c r="G7" s="141">
        <v>613584.50752077904</v>
      </c>
      <c r="H7" s="28">
        <f t="shared" si="2"/>
        <v>1.4017632317572156E-2</v>
      </c>
      <c r="I7" s="141">
        <v>1404.5034479538865</v>
      </c>
      <c r="J7" s="28">
        <f t="shared" si="3"/>
        <v>5.7785285736973759E-3</v>
      </c>
      <c r="K7" s="141">
        <v>1079.4918802857451</v>
      </c>
      <c r="L7" s="28">
        <f t="shared" si="4"/>
        <v>1.3320175539129979E-2</v>
      </c>
      <c r="M7" s="141">
        <v>2483.9953282396459</v>
      </c>
      <c r="N7" s="28">
        <f t="shared" si="5"/>
        <v>7.6643478054462377E-3</v>
      </c>
    </row>
    <row r="8" spans="2:32" x14ac:dyDescent="0.2">
      <c r="B8" s="25" t="s">
        <v>40</v>
      </c>
      <c r="C8" s="141">
        <v>8286.0573424177055</v>
      </c>
      <c r="D8" s="28">
        <f t="shared" si="0"/>
        <v>0.10497471140002275</v>
      </c>
      <c r="E8" s="141">
        <v>205874.28215471216</v>
      </c>
      <c r="F8" s="28">
        <f t="shared" si="1"/>
        <v>4.3864468259579702E-2</v>
      </c>
      <c r="G8" s="141">
        <v>1454688.7979285594</v>
      </c>
      <c r="H8" s="28">
        <f t="shared" si="2"/>
        <v>3.3233063181868257E-2</v>
      </c>
      <c r="I8" s="141">
        <v>5662.0338295906058</v>
      </c>
      <c r="J8" s="28">
        <f t="shared" si="3"/>
        <v>2.3295225310550265E-2</v>
      </c>
      <c r="K8" s="141">
        <v>2394.6479226353449</v>
      </c>
      <c r="L8" s="28">
        <f t="shared" si="4"/>
        <v>2.9548282174639853E-2</v>
      </c>
      <c r="M8" s="141">
        <v>8056.681752225938</v>
      </c>
      <c r="N8" s="28">
        <f t="shared" si="5"/>
        <v>2.4858827391842139E-2</v>
      </c>
    </row>
    <row r="9" spans="2:32" x14ac:dyDescent="0.2">
      <c r="B9" s="25" t="s">
        <v>41</v>
      </c>
      <c r="C9" s="141">
        <v>20456.449136951116</v>
      </c>
      <c r="D9" s="28">
        <f t="shared" si="0"/>
        <v>0.25915942355693578</v>
      </c>
      <c r="E9" s="141">
        <v>823146.52901799011</v>
      </c>
      <c r="F9" s="28">
        <f t="shared" si="1"/>
        <v>0.17538317276540116</v>
      </c>
      <c r="G9" s="141">
        <v>6227815.0682920329</v>
      </c>
      <c r="H9" s="28">
        <f t="shared" si="2"/>
        <v>0.14227742177176281</v>
      </c>
      <c r="I9" s="141">
        <v>30855.894343917978</v>
      </c>
      <c r="J9" s="28">
        <f t="shared" si="3"/>
        <v>0.12694996754409635</v>
      </c>
      <c r="K9" s="141">
        <v>10593.672902654413</v>
      </c>
      <c r="L9" s="28">
        <f t="shared" si="4"/>
        <v>0.13071852159752162</v>
      </c>
      <c r="M9" s="141">
        <v>41449.567246572384</v>
      </c>
      <c r="N9" s="28">
        <f t="shared" si="5"/>
        <v>0.12789230968002627</v>
      </c>
    </row>
    <row r="10" spans="2:32" x14ac:dyDescent="0.2">
      <c r="B10" s="25" t="s">
        <v>42</v>
      </c>
      <c r="C10" s="141">
        <v>18993.857953247607</v>
      </c>
      <c r="D10" s="28">
        <f t="shared" si="0"/>
        <v>0.24063009397825647</v>
      </c>
      <c r="E10" s="141">
        <v>1169994.0814491946</v>
      </c>
      <c r="F10" s="28">
        <f t="shared" si="1"/>
        <v>0.2492840179574107</v>
      </c>
      <c r="G10" s="141">
        <v>8669033.141399866</v>
      </c>
      <c r="H10" s="28">
        <f t="shared" si="2"/>
        <v>0.19804821933330119</v>
      </c>
      <c r="I10" s="141">
        <v>53052.815883251584</v>
      </c>
      <c r="J10" s="28">
        <f t="shared" si="3"/>
        <v>0.21827444634834436</v>
      </c>
      <c r="K10" s="141">
        <v>15433.690137919377</v>
      </c>
      <c r="L10" s="28">
        <f t="shared" si="4"/>
        <v>0.19044095245923268</v>
      </c>
      <c r="M10" s="141">
        <v>68486.506021170644</v>
      </c>
      <c r="N10" s="28">
        <f t="shared" si="5"/>
        <v>0.21131456897627429</v>
      </c>
    </row>
    <row r="11" spans="2:32" x14ac:dyDescent="0.2">
      <c r="B11" s="25" t="s">
        <v>43</v>
      </c>
      <c r="C11" s="141">
        <v>9778.9249668010361</v>
      </c>
      <c r="D11" s="28">
        <f t="shared" si="0"/>
        <v>0.12388760827630141</v>
      </c>
      <c r="E11" s="141">
        <v>837976.87316273164</v>
      </c>
      <c r="F11" s="28">
        <f t="shared" si="1"/>
        <v>0.17854299026765139</v>
      </c>
      <c r="G11" s="141">
        <v>6228627.7090354161</v>
      </c>
      <c r="H11" s="28">
        <f t="shared" si="2"/>
        <v>0.14229598693924569</v>
      </c>
      <c r="I11" s="141">
        <v>44221.771920003906</v>
      </c>
      <c r="J11" s="28">
        <f t="shared" si="3"/>
        <v>0.18194100768605645</v>
      </c>
      <c r="K11" s="141">
        <v>11537.117334377363</v>
      </c>
      <c r="L11" s="28">
        <f t="shared" si="4"/>
        <v>0.14235996668058973</v>
      </c>
      <c r="M11" s="141">
        <v>55758.889254381153</v>
      </c>
      <c r="N11" s="28">
        <f t="shared" si="5"/>
        <v>0.17204360879124264</v>
      </c>
    </row>
    <row r="12" spans="2:32" x14ac:dyDescent="0.2">
      <c r="B12" s="25" t="s">
        <v>44</v>
      </c>
      <c r="C12" s="141">
        <v>6149.6171999630678</v>
      </c>
      <c r="D12" s="28">
        <f t="shared" si="0"/>
        <v>7.7908499073743948E-2</v>
      </c>
      <c r="E12" s="141">
        <v>727000.12695385492</v>
      </c>
      <c r="F12" s="28">
        <f t="shared" si="1"/>
        <v>0.15489780296847963</v>
      </c>
      <c r="G12" s="141">
        <v>6474763.5244708899</v>
      </c>
      <c r="H12" s="28">
        <f t="shared" si="2"/>
        <v>0.14791907767682178</v>
      </c>
      <c r="I12" s="141">
        <v>45234.497255810762</v>
      </c>
      <c r="J12" s="28">
        <f t="shared" si="3"/>
        <v>0.18610764914129291</v>
      </c>
      <c r="K12" s="141">
        <v>12787.340090154734</v>
      </c>
      <c r="L12" s="28">
        <f t="shared" si="4"/>
        <v>0.15778684193004622</v>
      </c>
      <c r="M12" s="141">
        <v>58021.837345965578</v>
      </c>
      <c r="N12" s="28">
        <f t="shared" si="5"/>
        <v>0.17902591710816898</v>
      </c>
    </row>
    <row r="13" spans="2:32" x14ac:dyDescent="0.2">
      <c r="B13" s="25" t="s">
        <v>45</v>
      </c>
      <c r="C13" s="141">
        <v>1975.4813878442721</v>
      </c>
      <c r="D13" s="28">
        <f t="shared" si="0"/>
        <v>2.5027052070165961E-2</v>
      </c>
      <c r="E13" s="141">
        <v>363517.89732850884</v>
      </c>
      <c r="F13" s="28">
        <f t="shared" si="1"/>
        <v>7.745270124207479E-2</v>
      </c>
      <c r="G13" s="141">
        <v>4092683.7149330107</v>
      </c>
      <c r="H13" s="28">
        <f t="shared" si="2"/>
        <v>9.3499322106178534E-2</v>
      </c>
      <c r="I13" s="141">
        <v>26653.269495786644</v>
      </c>
      <c r="J13" s="28">
        <f t="shared" si="3"/>
        <v>0.10965916786337185</v>
      </c>
      <c r="K13" s="141">
        <v>8624.7830178312397</v>
      </c>
      <c r="L13" s="28">
        <f t="shared" si="4"/>
        <v>0.10642379612342175</v>
      </c>
      <c r="M13" s="141">
        <v>35278.052513617906</v>
      </c>
      <c r="N13" s="28">
        <f t="shared" si="5"/>
        <v>0.10885015011472639</v>
      </c>
    </row>
    <row r="14" spans="2:32" x14ac:dyDescent="0.2">
      <c r="B14" s="25" t="s">
        <v>46</v>
      </c>
      <c r="C14" s="141">
        <v>564.80328464972342</v>
      </c>
      <c r="D14" s="28">
        <f t="shared" si="0"/>
        <v>7.155400856372781E-3</v>
      </c>
      <c r="E14" s="141">
        <v>186922.60751594105</v>
      </c>
      <c r="F14" s="28">
        <f t="shared" si="1"/>
        <v>3.9826542191507053E-2</v>
      </c>
      <c r="G14" s="141">
        <v>2637582.1333581251</v>
      </c>
      <c r="H14" s="28">
        <f t="shared" si="2"/>
        <v>6.0256828683960359E-2</v>
      </c>
      <c r="I14" s="141">
        <v>15124.344253819054</v>
      </c>
      <c r="J14" s="28">
        <f t="shared" si="3"/>
        <v>6.2225874601055858E-2</v>
      </c>
      <c r="K14" s="141">
        <v>5824.0588944887641</v>
      </c>
      <c r="L14" s="28">
        <f t="shared" si="4"/>
        <v>7.1864817366006126E-2</v>
      </c>
      <c r="M14" s="141">
        <v>20948.403148307822</v>
      </c>
      <c r="N14" s="28">
        <f t="shared" si="5"/>
        <v>6.4636131103804687E-2</v>
      </c>
    </row>
    <row r="15" spans="2:32" x14ac:dyDescent="0.2">
      <c r="B15" s="25" t="s">
        <v>47</v>
      </c>
      <c r="C15" s="141">
        <v>140.83408551590367</v>
      </c>
      <c r="D15" s="28">
        <f t="shared" si="0"/>
        <v>1.7842040998963726E-3</v>
      </c>
      <c r="E15" s="141">
        <v>93576.737223348624</v>
      </c>
      <c r="F15" s="28">
        <f t="shared" si="1"/>
        <v>1.9937865850985583E-2</v>
      </c>
      <c r="G15" s="141">
        <v>1819830.6284576061</v>
      </c>
      <c r="H15" s="28">
        <f t="shared" si="2"/>
        <v>4.1574903403360619E-2</v>
      </c>
      <c r="I15" s="141">
        <v>7700.2642188307173</v>
      </c>
      <c r="J15" s="28">
        <f t="shared" si="3"/>
        <v>3.1681087631615222E-2</v>
      </c>
      <c r="K15" s="141">
        <v>3813.8039628001325</v>
      </c>
      <c r="L15" s="28">
        <f t="shared" si="4"/>
        <v>4.7059676116211487E-2</v>
      </c>
      <c r="M15" s="141">
        <v>11514.068181630853</v>
      </c>
      <c r="N15" s="28">
        <f t="shared" si="5"/>
        <v>3.5526565688905748E-2</v>
      </c>
    </row>
    <row r="16" spans="2:32" x14ac:dyDescent="0.2">
      <c r="B16" s="101" t="s">
        <v>48</v>
      </c>
      <c r="C16" s="141">
        <v>44.085478199114554</v>
      </c>
      <c r="D16" s="28">
        <f t="shared" si="0"/>
        <v>5.5851174565172974E-4</v>
      </c>
      <c r="E16" s="141">
        <v>203766.80578331038</v>
      </c>
      <c r="F16" s="28">
        <f t="shared" si="1"/>
        <v>4.3415440195298721E-2</v>
      </c>
      <c r="G16" s="141">
        <v>4046825.101920261</v>
      </c>
      <c r="H16" s="28">
        <f t="shared" si="2"/>
        <v>9.2451660100493382E-2</v>
      </c>
      <c r="I16" s="141">
        <v>12874.847007035009</v>
      </c>
      <c r="J16" s="28">
        <f t="shared" si="3"/>
        <v>5.2970800050735518E-2</v>
      </c>
      <c r="K16" s="141">
        <v>6273.679279160724</v>
      </c>
      <c r="L16" s="28">
        <f t="shared" si="4"/>
        <v>7.7412818753674131E-2</v>
      </c>
      <c r="M16" s="141">
        <v>19148.526286195731</v>
      </c>
      <c r="N16" s="28">
        <f t="shared" si="5"/>
        <v>5.9082625378019601E-2</v>
      </c>
    </row>
    <row r="17" spans="2:14" x14ac:dyDescent="0.2">
      <c r="B17" s="10" t="s">
        <v>0</v>
      </c>
      <c r="C17" s="96">
        <f>SUM(C5:C16)</f>
        <v>78933.842559874945</v>
      </c>
      <c r="D17" s="29">
        <f t="shared" ref="D17:N17" si="6">SUM(D5:D16)</f>
        <v>0.99999999999999989</v>
      </c>
      <c r="E17" s="96">
        <f t="shared" si="6"/>
        <v>4693417.9376436556</v>
      </c>
      <c r="F17" s="29">
        <f t="shared" si="6"/>
        <v>1</v>
      </c>
      <c r="G17" s="96">
        <f t="shared" si="6"/>
        <v>43772335.699774683</v>
      </c>
      <c r="H17" s="29">
        <f t="shared" si="6"/>
        <v>1</v>
      </c>
      <c r="I17" s="96">
        <f t="shared" si="6"/>
        <v>243055.55126038232</v>
      </c>
      <c r="J17" s="29">
        <f t="shared" si="6"/>
        <v>1.0000000000000002</v>
      </c>
      <c r="K17" s="96">
        <f t="shared" si="6"/>
        <v>81041.865935968977</v>
      </c>
      <c r="L17" s="29">
        <f t="shared" si="6"/>
        <v>1.0000000000000002</v>
      </c>
      <c r="M17" s="96">
        <f t="shared" si="6"/>
        <v>324097.41719635093</v>
      </c>
      <c r="N17" s="29">
        <f t="shared" si="6"/>
        <v>1.0000000000000002</v>
      </c>
    </row>
    <row r="19" spans="2:14" x14ac:dyDescent="0.2">
      <c r="B19" s="261" t="s">
        <v>460</v>
      </c>
      <c r="C19" s="260"/>
      <c r="D19" s="260"/>
      <c r="E19" s="260"/>
      <c r="F19" s="260"/>
      <c r="G19" s="260"/>
      <c r="H19" s="260"/>
      <c r="I19" s="260"/>
      <c r="J19" s="260"/>
      <c r="K19" s="260"/>
      <c r="L19" s="260"/>
      <c r="M19" s="260"/>
      <c r="N19" s="260"/>
    </row>
  </sheetData>
  <mergeCells count="8">
    <mergeCell ref="B19:N19"/>
    <mergeCell ref="B3:B4"/>
    <mergeCell ref="C3:D3"/>
    <mergeCell ref="E3:F3"/>
    <mergeCell ref="G3:H3"/>
    <mergeCell ref="I3:J3"/>
    <mergeCell ref="K3:L3"/>
    <mergeCell ref="M3:N3"/>
  </mergeCells>
  <pageMargins left="0.78740157480314965" right="0.78740157480314965" top="0.98425196850393704" bottom="0.98425196850393704" header="0.51181102362204722" footer="0.51181102362204722"/>
  <pageSetup paperSize="9" scale="84" orientation="landscape" r:id="rId1"/>
  <headerFooter alignWithMargins="0"/>
  <colBreaks count="1" manualBreakCount="1">
    <brk id="14" max="42"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0C9BD"/>
    <pageSetUpPr fitToPage="1"/>
  </sheetPr>
  <dimension ref="B1:AF18"/>
  <sheetViews>
    <sheetView view="pageBreakPreview" zoomScaleNormal="100" zoomScaleSheetLayoutView="100" zoomScalePageLayoutView="70" workbookViewId="0"/>
  </sheetViews>
  <sheetFormatPr baseColWidth="10" defaultRowHeight="12.75" x14ac:dyDescent="0.2"/>
  <cols>
    <col min="1" max="1" width="2" style="81" customWidth="1"/>
    <col min="2" max="2" width="16.28515625" style="81" customWidth="1"/>
    <col min="3" max="3" width="13.140625" style="81" customWidth="1"/>
    <col min="4" max="4" width="10.42578125" style="81" customWidth="1"/>
    <col min="5" max="5" width="12.140625" style="81" customWidth="1"/>
    <col min="6" max="6" width="10.42578125" style="81" customWidth="1"/>
    <col min="7" max="7" width="13.140625" style="81" customWidth="1"/>
    <col min="8" max="8" width="10.42578125" style="81" customWidth="1"/>
    <col min="9" max="9" width="12" style="81" bestFit="1" customWidth="1"/>
    <col min="10" max="10" width="10.42578125" style="81" customWidth="1"/>
    <col min="11" max="11" width="12.140625" style="81" customWidth="1"/>
    <col min="12" max="12" width="10.42578125" style="81" customWidth="1"/>
    <col min="13" max="13" width="12.140625" style="81" customWidth="1"/>
    <col min="14" max="14" width="10.42578125" style="81" customWidth="1"/>
    <col min="15" max="16384" width="11.42578125" style="81"/>
  </cols>
  <sheetData>
    <row r="1" spans="2:32" s="11" customFormat="1" ht="15.75" x14ac:dyDescent="0.2">
      <c r="B1" s="213" t="str">
        <f>Inhaltsverzeichnis!B51&amp;" "&amp;Inhaltsverzeichnis!C51&amp;" "&amp;Inhaltsverzeichnis!E51</f>
        <v>Tabelle 20: Verteilung der Altersrentnerinnen- und rentner, Steuerfaktoren und Steuern nach Stufen des steuerbaren Vermögens, 2013</v>
      </c>
      <c r="C1" s="214"/>
      <c r="D1" s="214"/>
      <c r="E1" s="214"/>
      <c r="F1" s="214"/>
      <c r="G1" s="214"/>
      <c r="H1" s="214"/>
      <c r="I1" s="214"/>
      <c r="J1" s="214"/>
      <c r="K1" s="214"/>
      <c r="L1" s="214"/>
      <c r="M1" s="214"/>
      <c r="N1" s="214"/>
      <c r="O1" s="214"/>
      <c r="P1" s="214"/>
      <c r="Q1" s="214"/>
      <c r="R1" s="214"/>
      <c r="S1" s="214"/>
      <c r="T1" s="78"/>
      <c r="U1" s="78"/>
      <c r="V1" s="78"/>
      <c r="W1" s="78"/>
      <c r="X1" s="78"/>
      <c r="Y1" s="78"/>
      <c r="Z1" s="78"/>
      <c r="AA1" s="78"/>
      <c r="AB1" s="78"/>
      <c r="AC1" s="78"/>
      <c r="AD1" s="78"/>
      <c r="AE1" s="78"/>
      <c r="AF1" s="78"/>
    </row>
    <row r="3" spans="2:32" s="45" customFormat="1" ht="27" customHeight="1" x14ac:dyDescent="0.2">
      <c r="B3" s="248" t="s">
        <v>574</v>
      </c>
      <c r="C3" s="251" t="s">
        <v>441</v>
      </c>
      <c r="D3" s="247"/>
      <c r="E3" s="246" t="s">
        <v>116</v>
      </c>
      <c r="F3" s="250"/>
      <c r="G3" s="246" t="s">
        <v>118</v>
      </c>
      <c r="H3" s="247"/>
      <c r="I3" s="246" t="s">
        <v>130</v>
      </c>
      <c r="J3" s="247"/>
      <c r="K3" s="246" t="s">
        <v>131</v>
      </c>
      <c r="L3" s="247"/>
      <c r="M3" s="246" t="s">
        <v>132</v>
      </c>
      <c r="N3" s="247"/>
    </row>
    <row r="4" spans="2:32" ht="24.75" customHeight="1" x14ac:dyDescent="0.2">
      <c r="B4" s="249"/>
      <c r="C4" s="47" t="s">
        <v>1</v>
      </c>
      <c r="D4" s="47" t="s">
        <v>2</v>
      </c>
      <c r="E4" s="47" t="s">
        <v>3</v>
      </c>
      <c r="F4" s="47" t="s">
        <v>2</v>
      </c>
      <c r="G4" s="47" t="s">
        <v>3</v>
      </c>
      <c r="H4" s="47" t="s">
        <v>2</v>
      </c>
      <c r="I4" s="47" t="s">
        <v>3</v>
      </c>
      <c r="J4" s="47" t="s">
        <v>2</v>
      </c>
      <c r="K4" s="47" t="s">
        <v>3</v>
      </c>
      <c r="L4" s="47" t="s">
        <v>2</v>
      </c>
      <c r="M4" s="47" t="s">
        <v>3</v>
      </c>
      <c r="N4" s="47" t="s">
        <v>2</v>
      </c>
    </row>
    <row r="5" spans="2:32" x14ac:dyDescent="0.2">
      <c r="B5" s="25">
        <v>0</v>
      </c>
      <c r="C5" s="141">
        <v>21359.8354901155</v>
      </c>
      <c r="D5" s="28">
        <f t="shared" ref="D5:D15" si="0">C5/SUM($C$5:$C$15)</f>
        <v>0.27060427818287597</v>
      </c>
      <c r="E5" s="141">
        <v>818767.63440556999</v>
      </c>
      <c r="F5" s="28">
        <f t="shared" ref="F5:F15" si="1">E5/SUM($E$5:$E$15)</f>
        <v>0.17445018647042509</v>
      </c>
      <c r="G5" s="141">
        <v>0</v>
      </c>
      <c r="H5" s="28">
        <f t="shared" ref="H5:H15" si="2">G5/SUM($G$5:$G$15)</f>
        <v>0</v>
      </c>
      <c r="I5" s="141">
        <v>33400.467692596299</v>
      </c>
      <c r="J5" s="28">
        <f t="shared" ref="J5:J15" si="3">I5/SUM($I$5:$I$15)</f>
        <v>0.13741906950652122</v>
      </c>
      <c r="K5" s="141">
        <v>0</v>
      </c>
      <c r="L5" s="28">
        <f t="shared" ref="L5:L15" si="4">K5/SUM($K$5:$K$15)</f>
        <v>0</v>
      </c>
      <c r="M5" s="141">
        <v>33400.467692596299</v>
      </c>
      <c r="N5" s="28">
        <f t="shared" ref="N5:N15" si="5">M5/SUM($M$5:$M$15)</f>
        <v>0.10305687710050751</v>
      </c>
    </row>
    <row r="6" spans="2:32" x14ac:dyDescent="0.2">
      <c r="B6" s="25" t="s">
        <v>49</v>
      </c>
      <c r="C6" s="141">
        <v>2804.6403263819716</v>
      </c>
      <c r="D6" s="28">
        <f t="shared" si="0"/>
        <v>3.5531531665325349E-2</v>
      </c>
      <c r="E6" s="141">
        <v>107830.84562137822</v>
      </c>
      <c r="F6" s="28">
        <f t="shared" si="1"/>
        <v>2.297490806359246E-2</v>
      </c>
      <c r="G6" s="141">
        <v>34241.416771272023</v>
      </c>
      <c r="H6" s="28">
        <f t="shared" si="2"/>
        <v>7.8226158654467928E-4</v>
      </c>
      <c r="I6" s="141">
        <v>4700.5018079995161</v>
      </c>
      <c r="J6" s="28">
        <f t="shared" si="3"/>
        <v>1.933920778038075E-2</v>
      </c>
      <c r="K6" s="141">
        <v>46.193595914133297</v>
      </c>
      <c r="L6" s="28">
        <f t="shared" si="4"/>
        <v>5.6999669714701212E-4</v>
      </c>
      <c r="M6" s="141">
        <v>4746.6954039136654</v>
      </c>
      <c r="N6" s="28">
        <f t="shared" si="5"/>
        <v>1.464589087125592E-2</v>
      </c>
    </row>
    <row r="7" spans="2:32" x14ac:dyDescent="0.2">
      <c r="B7" s="25" t="s">
        <v>51</v>
      </c>
      <c r="C7" s="141">
        <v>2442.3451116803471</v>
      </c>
      <c r="D7" s="28">
        <f t="shared" si="0"/>
        <v>3.0941672576344458E-2</v>
      </c>
      <c r="E7" s="141">
        <v>103710.64620455044</v>
      </c>
      <c r="F7" s="28">
        <f t="shared" si="1"/>
        <v>2.2097040489988659E-2</v>
      </c>
      <c r="G7" s="141">
        <v>89324.439217893596</v>
      </c>
      <c r="H7" s="28">
        <f t="shared" si="2"/>
        <v>2.0406596492942792E-3</v>
      </c>
      <c r="I7" s="141">
        <v>4678.0893529395744</v>
      </c>
      <c r="J7" s="28">
        <f t="shared" si="3"/>
        <v>1.9246996535076045E-2</v>
      </c>
      <c r="K7" s="141">
        <v>119.17058644428349</v>
      </c>
      <c r="L7" s="28">
        <f t="shared" si="4"/>
        <v>1.4704817697366427E-3</v>
      </c>
      <c r="M7" s="141">
        <v>4797.2599393838436</v>
      </c>
      <c r="N7" s="28">
        <f t="shared" si="5"/>
        <v>1.4801907342808189E-2</v>
      </c>
    </row>
    <row r="8" spans="2:32" x14ac:dyDescent="0.2">
      <c r="B8" s="25" t="s">
        <v>52</v>
      </c>
      <c r="C8" s="141">
        <v>4432.0924913159788</v>
      </c>
      <c r="D8" s="28">
        <f t="shared" si="0"/>
        <v>5.6149458173838186E-2</v>
      </c>
      <c r="E8" s="141">
        <v>197422.85798827917</v>
      </c>
      <c r="F8" s="28">
        <f t="shared" si="1"/>
        <v>4.2063771138906247E-2</v>
      </c>
      <c r="G8" s="141">
        <v>328354.56390913657</v>
      </c>
      <c r="H8" s="28">
        <f t="shared" si="2"/>
        <v>7.5014174742982012E-3</v>
      </c>
      <c r="I8" s="141">
        <v>8821.754618821129</v>
      </c>
      <c r="J8" s="28">
        <f t="shared" si="3"/>
        <v>3.6295219644543311E-2</v>
      </c>
      <c r="K8" s="141">
        <v>440.14509864393068</v>
      </c>
      <c r="L8" s="28">
        <f t="shared" si="4"/>
        <v>5.4310829786630059E-3</v>
      </c>
      <c r="M8" s="141">
        <v>9261.8997174650522</v>
      </c>
      <c r="N8" s="28">
        <f t="shared" si="5"/>
        <v>2.8577517826542304E-2</v>
      </c>
    </row>
    <row r="9" spans="2:32" x14ac:dyDescent="0.2">
      <c r="B9" s="25" t="s">
        <v>53</v>
      </c>
      <c r="C9" s="141">
        <v>11191.4253889315</v>
      </c>
      <c r="D9" s="28">
        <f t="shared" si="0"/>
        <v>0.14178234615199953</v>
      </c>
      <c r="E9" s="141">
        <v>538541.03374145075</v>
      </c>
      <c r="F9" s="28">
        <f t="shared" si="1"/>
        <v>0.11474389046457459</v>
      </c>
      <c r="G9" s="141">
        <v>1924565.2841443489</v>
      </c>
      <c r="H9" s="28">
        <f t="shared" si="2"/>
        <v>4.3967616837825192E-2</v>
      </c>
      <c r="I9" s="141">
        <v>24662.765504669707</v>
      </c>
      <c r="J9" s="28">
        <f t="shared" si="3"/>
        <v>0.10146966558376941</v>
      </c>
      <c r="K9" s="141">
        <v>2736.2729851062973</v>
      </c>
      <c r="L9" s="28">
        <f t="shared" si="4"/>
        <v>3.3763696744941923E-2</v>
      </c>
      <c r="M9" s="141">
        <v>27399.038489775918</v>
      </c>
      <c r="N9" s="28">
        <f t="shared" si="5"/>
        <v>8.4539515084060241E-2</v>
      </c>
    </row>
    <row r="10" spans="2:32" x14ac:dyDescent="0.2">
      <c r="B10" s="25" t="s">
        <v>54</v>
      </c>
      <c r="C10" s="141">
        <v>13579.766635938498</v>
      </c>
      <c r="D10" s="28">
        <f t="shared" si="0"/>
        <v>0.17203985255928431</v>
      </c>
      <c r="E10" s="141">
        <v>746886.27285000542</v>
      </c>
      <c r="F10" s="28">
        <f t="shared" si="1"/>
        <v>0.15913483153920557</v>
      </c>
      <c r="G10" s="141">
        <v>4959505.3077315399</v>
      </c>
      <c r="H10" s="28">
        <f t="shared" si="2"/>
        <v>0.11330227707627383</v>
      </c>
      <c r="I10" s="141">
        <v>35693.825894171438</v>
      </c>
      <c r="J10" s="28">
        <f t="shared" si="3"/>
        <v>0.14685460055974245</v>
      </c>
      <c r="K10" s="141">
        <v>7641.0297042142574</v>
      </c>
      <c r="L10" s="28">
        <f t="shared" si="4"/>
        <v>9.4284967602441622E-2</v>
      </c>
      <c r="M10" s="141">
        <v>43334.855598386297</v>
      </c>
      <c r="N10" s="28">
        <f t="shared" si="5"/>
        <v>0.1337093518771619</v>
      </c>
    </row>
    <row r="11" spans="2:32" x14ac:dyDescent="0.2">
      <c r="B11" s="25" t="s">
        <v>55</v>
      </c>
      <c r="C11" s="141">
        <v>8281.3410940532904</v>
      </c>
      <c r="D11" s="28">
        <f t="shared" si="0"/>
        <v>0.1049149620173578</v>
      </c>
      <c r="E11" s="141">
        <v>525682.55203120492</v>
      </c>
      <c r="F11" s="28">
        <f t="shared" si="1"/>
        <v>0.11200420653250577</v>
      </c>
      <c r="G11" s="141">
        <v>5080913.9462335007</v>
      </c>
      <c r="H11" s="28">
        <f t="shared" si="2"/>
        <v>0.11607591564412813</v>
      </c>
      <c r="I11" s="141">
        <v>26833.260888292116</v>
      </c>
      <c r="J11" s="28">
        <f t="shared" si="3"/>
        <v>0.11039970389133798</v>
      </c>
      <c r="K11" s="141">
        <v>8465.4573429600514</v>
      </c>
      <c r="L11" s="28">
        <f t="shared" si="4"/>
        <v>0.1044578286196987</v>
      </c>
      <c r="M11" s="141">
        <v>35298.718231252125</v>
      </c>
      <c r="N11" s="28">
        <f t="shared" si="5"/>
        <v>0.10891391402192731</v>
      </c>
    </row>
    <row r="12" spans="2:32" x14ac:dyDescent="0.2">
      <c r="B12" s="25" t="s">
        <v>56</v>
      </c>
      <c r="C12" s="141">
        <v>4655.6233289770071</v>
      </c>
      <c r="D12" s="28">
        <f t="shared" si="0"/>
        <v>5.8981333962622604E-2</v>
      </c>
      <c r="E12" s="141">
        <v>331927.1332324121</v>
      </c>
      <c r="F12" s="28">
        <f t="shared" si="1"/>
        <v>7.0721835907726266E-2</v>
      </c>
      <c r="G12" s="141">
        <v>4015606.7489263494</v>
      </c>
      <c r="H12" s="28">
        <f t="shared" si="2"/>
        <v>9.1738461855646936E-2</v>
      </c>
      <c r="I12" s="141">
        <v>17903.711908738274</v>
      </c>
      <c r="J12" s="28">
        <f t="shared" si="3"/>
        <v>7.366098744051422E-2</v>
      </c>
      <c r="K12" s="141">
        <v>7119.1716595643056</v>
      </c>
      <c r="L12" s="28">
        <f t="shared" si="4"/>
        <v>8.7845603964611871E-2</v>
      </c>
      <c r="M12" s="141">
        <v>25022.883568302495</v>
      </c>
      <c r="N12" s="28">
        <f t="shared" si="5"/>
        <v>7.720790799496749E-2</v>
      </c>
    </row>
    <row r="13" spans="2:32" x14ac:dyDescent="0.2">
      <c r="B13" s="25" t="s">
        <v>57</v>
      </c>
      <c r="C13" s="141">
        <v>9574.9973401389161</v>
      </c>
      <c r="D13" s="28">
        <f t="shared" si="0"/>
        <v>0.12130408237602198</v>
      </c>
      <c r="E13" s="141">
        <v>962876.01537620742</v>
      </c>
      <c r="F13" s="28">
        <f t="shared" si="1"/>
        <v>0.20515454369691752</v>
      </c>
      <c r="G13" s="141">
        <v>17329856.129098106</v>
      </c>
      <c r="H13" s="28">
        <f t="shared" si="2"/>
        <v>0.39590887376812572</v>
      </c>
      <c r="I13" s="141">
        <v>60863.737690941831</v>
      </c>
      <c r="J13" s="28">
        <f t="shared" si="3"/>
        <v>0.25041081092502721</v>
      </c>
      <c r="K13" s="141">
        <v>35141.657789055949</v>
      </c>
      <c r="L13" s="28">
        <f t="shared" si="4"/>
        <v>0.43362350290430479</v>
      </c>
      <c r="M13" s="141">
        <v>96005.395479997533</v>
      </c>
      <c r="N13" s="28">
        <f t="shared" si="5"/>
        <v>0.29622388327097821</v>
      </c>
    </row>
    <row r="14" spans="2:32" x14ac:dyDescent="0.2">
      <c r="B14" s="25" t="s">
        <v>58</v>
      </c>
      <c r="C14" s="141">
        <v>415.6232462837159</v>
      </c>
      <c r="D14" s="28">
        <f t="shared" si="0"/>
        <v>5.2654632386412853E-3</v>
      </c>
      <c r="E14" s="141">
        <v>107850.78759498203</v>
      </c>
      <c r="F14" s="28">
        <f t="shared" si="1"/>
        <v>2.2979156987056926E-2</v>
      </c>
      <c r="G14" s="141">
        <v>2823799.9954585386</v>
      </c>
      <c r="H14" s="28">
        <f t="shared" si="2"/>
        <v>6.4511065044058777E-2</v>
      </c>
      <c r="I14" s="141">
        <v>8376.8684838289155</v>
      </c>
      <c r="J14" s="28">
        <f t="shared" si="3"/>
        <v>3.4464830942515221E-2</v>
      </c>
      <c r="K14" s="141">
        <v>6296.2360118853912</v>
      </c>
      <c r="L14" s="28">
        <f t="shared" si="4"/>
        <v>7.7691153074634672E-2</v>
      </c>
      <c r="M14" s="141">
        <v>14673.104495714309</v>
      </c>
      <c r="N14" s="28">
        <f t="shared" si="5"/>
        <v>4.5273747080880757E-2</v>
      </c>
    </row>
    <row r="15" spans="2:32" x14ac:dyDescent="0.2">
      <c r="B15" s="26" t="s">
        <v>50</v>
      </c>
      <c r="C15" s="141">
        <v>196.1521060573543</v>
      </c>
      <c r="D15" s="28">
        <f t="shared" si="0"/>
        <v>2.4850190956884691E-3</v>
      </c>
      <c r="E15" s="141">
        <v>251922.1585975929</v>
      </c>
      <c r="F15" s="28">
        <f t="shared" si="1"/>
        <v>5.3675628709100712E-2</v>
      </c>
      <c r="G15" s="141">
        <v>7186167.8682839666</v>
      </c>
      <c r="H15" s="28">
        <f t="shared" si="2"/>
        <v>0.16417145106380426</v>
      </c>
      <c r="I15" s="141">
        <v>17120.56741738346</v>
      </c>
      <c r="J15" s="28">
        <f t="shared" si="3"/>
        <v>7.0438907190572331E-2</v>
      </c>
      <c r="K15" s="141">
        <v>13036.531162180429</v>
      </c>
      <c r="L15" s="28">
        <f t="shared" si="4"/>
        <v>0.16086168564381967</v>
      </c>
      <c r="M15" s="141">
        <v>30157.098579563877</v>
      </c>
      <c r="N15" s="28">
        <f t="shared" si="5"/>
        <v>9.3049487528910096E-2</v>
      </c>
    </row>
    <row r="16" spans="2:32" x14ac:dyDescent="0.2">
      <c r="B16" s="10" t="s">
        <v>0</v>
      </c>
      <c r="C16" s="96">
        <f t="shared" ref="C16:N16" si="6">SUM(C5:C15)</f>
        <v>78933.842559874087</v>
      </c>
      <c r="D16" s="29">
        <f t="shared" si="6"/>
        <v>1</v>
      </c>
      <c r="E16" s="96">
        <f t="shared" si="6"/>
        <v>4693417.9376436342</v>
      </c>
      <c r="F16" s="29">
        <f t="shared" si="6"/>
        <v>0.99999999999999978</v>
      </c>
      <c r="G16" s="96">
        <f t="shared" si="6"/>
        <v>43772335.699774653</v>
      </c>
      <c r="H16" s="29">
        <f t="shared" si="6"/>
        <v>1</v>
      </c>
      <c r="I16" s="96">
        <f t="shared" si="6"/>
        <v>243055.55126038223</v>
      </c>
      <c r="J16" s="29">
        <f t="shared" si="6"/>
        <v>1.0000000000000002</v>
      </c>
      <c r="K16" s="96">
        <f t="shared" si="6"/>
        <v>81041.865935969035</v>
      </c>
      <c r="L16" s="29">
        <f t="shared" si="6"/>
        <v>1</v>
      </c>
      <c r="M16" s="96">
        <f t="shared" si="6"/>
        <v>324097.41719635145</v>
      </c>
      <c r="N16" s="29">
        <f t="shared" si="6"/>
        <v>0.99999999999999989</v>
      </c>
    </row>
    <row r="18" spans="2:14" x14ac:dyDescent="0.2">
      <c r="B18" s="261" t="s">
        <v>460</v>
      </c>
      <c r="C18" s="260"/>
      <c r="D18" s="260"/>
      <c r="E18" s="260"/>
      <c r="F18" s="260"/>
      <c r="G18" s="260"/>
      <c r="H18" s="260"/>
      <c r="I18" s="260"/>
      <c r="J18" s="260"/>
      <c r="K18" s="260"/>
      <c r="L18" s="260"/>
      <c r="M18" s="260"/>
      <c r="N18" s="260"/>
    </row>
  </sheetData>
  <mergeCells count="8">
    <mergeCell ref="B18:N18"/>
    <mergeCell ref="B3:B4"/>
    <mergeCell ref="C3:D3"/>
    <mergeCell ref="E3:F3"/>
    <mergeCell ref="G3:H3"/>
    <mergeCell ref="I3:J3"/>
    <mergeCell ref="K3:L3"/>
    <mergeCell ref="M3:N3"/>
  </mergeCells>
  <pageMargins left="0.78740157480314965" right="0.78740157480314965" top="0.98425196850393704" bottom="0.98425196850393704" header="0.51181102362204722" footer="0.51181102362204722"/>
  <pageSetup paperSize="9" scale="84" orientation="landscape" r:id="rId1"/>
  <headerFooter alignWithMargins="0"/>
  <colBreaks count="1" manualBreakCount="1">
    <brk id="14" max="42"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B1:AF19"/>
  <sheetViews>
    <sheetView view="pageBreakPreview" zoomScaleNormal="100" zoomScaleSheetLayoutView="100" zoomScalePageLayoutView="70" workbookViewId="0"/>
  </sheetViews>
  <sheetFormatPr baseColWidth="10" defaultRowHeight="12.75" x14ac:dyDescent="0.2"/>
  <cols>
    <col min="1" max="1" width="2" style="81" customWidth="1"/>
    <col min="2" max="2" width="15.42578125" style="81" customWidth="1"/>
    <col min="3" max="3" width="13.140625" style="81" customWidth="1"/>
    <col min="4" max="4" width="10.42578125" style="81" customWidth="1"/>
    <col min="5" max="5" width="12.140625" style="81" customWidth="1"/>
    <col min="6" max="6" width="10.42578125" style="81" customWidth="1"/>
    <col min="7" max="7" width="13.140625" style="81" customWidth="1"/>
    <col min="8" max="8" width="10.42578125" style="81" customWidth="1"/>
    <col min="9" max="9" width="12" style="81" bestFit="1" customWidth="1"/>
    <col min="10" max="10" width="10.42578125" style="81" customWidth="1"/>
    <col min="11" max="11" width="12.140625" style="81" customWidth="1"/>
    <col min="12" max="12" width="10.42578125" style="81" customWidth="1"/>
    <col min="13" max="13" width="12.140625" style="81" customWidth="1"/>
    <col min="14" max="14" width="10.42578125" style="81" customWidth="1"/>
    <col min="15" max="16384" width="11.42578125" style="81"/>
  </cols>
  <sheetData>
    <row r="1" spans="2:32" s="11" customFormat="1" ht="15.75" x14ac:dyDescent="0.2">
      <c r="B1" s="213" t="str">
        <f>Inhaltsverzeichnis!B54&amp;" "&amp;Inhaltsverzeichnis!C54&amp;" "&amp;Inhaltsverzeichnis!E54</f>
        <v>Tabelle 21a: Verteilung der Pflichtigen, Steuerfaktoren und Steuern nach Stufen des steuerbaren Einkommens, 2013</v>
      </c>
      <c r="C1" s="214"/>
      <c r="D1" s="214"/>
      <c r="E1" s="214"/>
      <c r="F1" s="214"/>
      <c r="G1" s="214"/>
      <c r="H1" s="214"/>
      <c r="I1" s="214"/>
      <c r="J1" s="214"/>
      <c r="K1" s="214"/>
      <c r="L1" s="214"/>
      <c r="M1" s="214"/>
      <c r="N1" s="214"/>
      <c r="O1" s="214"/>
      <c r="P1" s="214"/>
      <c r="Q1" s="214"/>
      <c r="R1" s="214"/>
      <c r="S1" s="214"/>
      <c r="T1" s="78"/>
      <c r="U1" s="78"/>
      <c r="V1" s="78"/>
      <c r="W1" s="78"/>
      <c r="X1" s="78"/>
      <c r="Y1" s="78"/>
      <c r="Z1" s="78"/>
      <c r="AA1" s="78"/>
      <c r="AB1" s="78"/>
      <c r="AC1" s="78"/>
      <c r="AD1" s="78"/>
      <c r="AE1" s="78"/>
      <c r="AF1" s="78"/>
    </row>
    <row r="3" spans="2:32" s="45" customFormat="1" ht="27" customHeight="1" x14ac:dyDescent="0.2">
      <c r="B3" s="248" t="s">
        <v>573</v>
      </c>
      <c r="C3" s="251" t="s">
        <v>441</v>
      </c>
      <c r="D3" s="247"/>
      <c r="E3" s="246" t="s">
        <v>116</v>
      </c>
      <c r="F3" s="250"/>
      <c r="G3" s="246" t="s">
        <v>118</v>
      </c>
      <c r="H3" s="247"/>
      <c r="I3" s="246" t="s">
        <v>130</v>
      </c>
      <c r="J3" s="247"/>
      <c r="K3" s="246" t="s">
        <v>131</v>
      </c>
      <c r="L3" s="247"/>
      <c r="M3" s="246" t="s">
        <v>132</v>
      </c>
      <c r="N3" s="247"/>
    </row>
    <row r="4" spans="2:32" ht="24.75" customHeight="1" x14ac:dyDescent="0.2">
      <c r="B4" s="249"/>
      <c r="C4" s="47" t="s">
        <v>1</v>
      </c>
      <c r="D4" s="47" t="s">
        <v>2</v>
      </c>
      <c r="E4" s="47" t="s">
        <v>3</v>
      </c>
      <c r="F4" s="47" t="s">
        <v>2</v>
      </c>
      <c r="G4" s="47" t="s">
        <v>3</v>
      </c>
      <c r="H4" s="47" t="s">
        <v>2</v>
      </c>
      <c r="I4" s="47" t="s">
        <v>3</v>
      </c>
      <c r="J4" s="47" t="s">
        <v>2</v>
      </c>
      <c r="K4" s="47" t="s">
        <v>3</v>
      </c>
      <c r="L4" s="47" t="s">
        <v>2</v>
      </c>
      <c r="M4" s="47" t="s">
        <v>3</v>
      </c>
      <c r="N4" s="47" t="s">
        <v>2</v>
      </c>
    </row>
    <row r="5" spans="2:32" x14ac:dyDescent="0.2">
      <c r="B5" s="25">
        <v>0</v>
      </c>
      <c r="C5" s="141">
        <v>46485.128810501556</v>
      </c>
      <c r="D5" s="28">
        <f>C5/SUM($C$5:$C$16)</f>
        <v>0.12526577994271068</v>
      </c>
      <c r="E5" s="141">
        <v>0</v>
      </c>
      <c r="F5" s="28">
        <f>E5/SUM($E$5:$E$16)</f>
        <v>0</v>
      </c>
      <c r="G5" s="141">
        <v>2157453.5940340827</v>
      </c>
      <c r="H5" s="28">
        <f>G5/SUM($G$5:$G$16)</f>
        <v>2.8361777476987048E-2</v>
      </c>
      <c r="I5" s="141">
        <v>0</v>
      </c>
      <c r="J5" s="28">
        <f>I5/SUM($I$5:$I$16)</f>
        <v>0</v>
      </c>
      <c r="K5" s="141">
        <v>3835.7067878099192</v>
      </c>
      <c r="L5" s="28">
        <f>K5/SUM($K$5:$K$16)</f>
        <v>2.7228923340226602E-2</v>
      </c>
      <c r="M5" s="141">
        <v>3835.7067878099192</v>
      </c>
      <c r="N5" s="28">
        <f>M5/SUM($M$5:$M$16)</f>
        <v>2.788314999559385E-3</v>
      </c>
    </row>
    <row r="6" spans="2:32" x14ac:dyDescent="0.2">
      <c r="B6" s="25" t="s">
        <v>38</v>
      </c>
      <c r="C6" s="141">
        <v>14389.21871465713</v>
      </c>
      <c r="D6" s="28">
        <f t="shared" ref="D6:D16" si="0">C6/SUM($C$5:$C$16)</f>
        <v>3.8775340655839444E-2</v>
      </c>
      <c r="E6" s="141">
        <v>66789.497055036423</v>
      </c>
      <c r="F6" s="28">
        <f t="shared" ref="F6:F16" si="1">E6/SUM($E$5:$E$16)</f>
        <v>2.9853147391610785E-3</v>
      </c>
      <c r="G6" s="141">
        <v>926163.2110152581</v>
      </c>
      <c r="H6" s="28">
        <f t="shared" ref="H6:H16" si="2">G6/SUM($G$5:$G$16)</f>
        <v>1.2175295436631107E-2</v>
      </c>
      <c r="I6" s="141">
        <v>1018.7194457918921</v>
      </c>
      <c r="J6" s="28">
        <f t="shared" ref="J6:J16" si="3">I6/SUM($I$5:$I$16)</f>
        <v>8.2502951952318274E-4</v>
      </c>
      <c r="K6" s="141">
        <v>1627.4645028779212</v>
      </c>
      <c r="L6" s="28">
        <f t="shared" ref="L6:L16" si="4">K6/SUM($K$5:$K$16)</f>
        <v>1.1553048405221042E-2</v>
      </c>
      <c r="M6" s="141">
        <v>2646.1839486698104</v>
      </c>
      <c r="N6" s="28">
        <f t="shared" ref="N6:N16" si="5">M6/SUM($M$5:$M$16)</f>
        <v>1.9236075132536838E-3</v>
      </c>
    </row>
    <row r="7" spans="2:32" x14ac:dyDescent="0.2">
      <c r="B7" s="25" t="s">
        <v>39</v>
      </c>
      <c r="C7" s="141">
        <v>14987.763600267672</v>
      </c>
      <c r="D7" s="28">
        <f t="shared" si="0"/>
        <v>4.0388269216979342E-2</v>
      </c>
      <c r="E7" s="141">
        <v>228432.43595847499</v>
      </c>
      <c r="F7" s="28">
        <f t="shared" si="1"/>
        <v>1.0210328689964E-2</v>
      </c>
      <c r="G7" s="141">
        <v>1156151.8157426782</v>
      </c>
      <c r="H7" s="28">
        <f t="shared" si="2"/>
        <v>1.5198714177854226E-2</v>
      </c>
      <c r="I7" s="141">
        <v>4369.8915748077707</v>
      </c>
      <c r="J7" s="28">
        <f t="shared" si="3"/>
        <v>3.5390406664216772E-3</v>
      </c>
      <c r="K7" s="141">
        <v>2055.3042192768521</v>
      </c>
      <c r="L7" s="28">
        <f t="shared" si="4"/>
        <v>1.4590197875757705E-2</v>
      </c>
      <c r="M7" s="141">
        <v>6425.1957940846205</v>
      </c>
      <c r="N7" s="28">
        <f t="shared" si="5"/>
        <v>4.6707088937789354E-3</v>
      </c>
    </row>
    <row r="8" spans="2:32" x14ac:dyDescent="0.2">
      <c r="B8" s="25" t="s">
        <v>40</v>
      </c>
      <c r="C8" s="141">
        <v>24484.447463024804</v>
      </c>
      <c r="D8" s="28">
        <f t="shared" si="0"/>
        <v>6.5979453782415667E-2</v>
      </c>
      <c r="E8" s="141">
        <v>611459.22968464193</v>
      </c>
      <c r="F8" s="28">
        <f t="shared" si="1"/>
        <v>2.7330618304693344E-2</v>
      </c>
      <c r="G8" s="141">
        <v>2105343.5818322184</v>
      </c>
      <c r="H8" s="28">
        <f t="shared" si="2"/>
        <v>2.7676741852360302E-2</v>
      </c>
      <c r="I8" s="141">
        <v>16226.108791686716</v>
      </c>
      <c r="J8" s="28">
        <f t="shared" si="3"/>
        <v>1.3141026015980198E-2</v>
      </c>
      <c r="K8" s="141">
        <v>3532.4267058286073</v>
      </c>
      <c r="L8" s="28">
        <f t="shared" si="4"/>
        <v>2.5075998062118507E-2</v>
      </c>
      <c r="M8" s="141">
        <v>19758.535497515466</v>
      </c>
      <c r="N8" s="28">
        <f t="shared" si="5"/>
        <v>1.4363199260208702E-2</v>
      </c>
    </row>
    <row r="9" spans="2:32" x14ac:dyDescent="0.2">
      <c r="B9" s="25" t="s">
        <v>41</v>
      </c>
      <c r="C9" s="141">
        <v>81747.364920332548</v>
      </c>
      <c r="D9" s="28">
        <f t="shared" si="0"/>
        <v>0.22028867483085193</v>
      </c>
      <c r="E9" s="141">
        <v>3335599.790955191</v>
      </c>
      <c r="F9" s="28">
        <f t="shared" si="1"/>
        <v>0.14909253189428306</v>
      </c>
      <c r="G9" s="141">
        <v>8401791.8171556443</v>
      </c>
      <c r="H9" s="28">
        <f t="shared" si="2"/>
        <v>0.11044953670617612</v>
      </c>
      <c r="I9" s="141">
        <v>132553.15886056935</v>
      </c>
      <c r="J9" s="28">
        <f t="shared" si="3"/>
        <v>0.10735072292745473</v>
      </c>
      <c r="K9" s="141">
        <v>14253.398796950933</v>
      </c>
      <c r="L9" s="28">
        <f t="shared" si="4"/>
        <v>0.1011820570887411</v>
      </c>
      <c r="M9" s="141">
        <v>146806.55765751927</v>
      </c>
      <c r="N9" s="28">
        <f t="shared" si="5"/>
        <v>0.10671903495101719</v>
      </c>
    </row>
    <row r="10" spans="2:32" x14ac:dyDescent="0.2">
      <c r="B10" s="25" t="s">
        <v>42</v>
      </c>
      <c r="C10" s="141">
        <v>88589.043512234741</v>
      </c>
      <c r="D10" s="28">
        <f t="shared" si="0"/>
        <v>0.23872528513746599</v>
      </c>
      <c r="E10" s="141">
        <v>5436082.5859110337</v>
      </c>
      <c r="F10" s="28">
        <f t="shared" si="1"/>
        <v>0.24297858469639927</v>
      </c>
      <c r="G10" s="141">
        <v>12686158.496643266</v>
      </c>
      <c r="H10" s="28">
        <f t="shared" si="2"/>
        <v>0.16677160765567817</v>
      </c>
      <c r="I10" s="141">
        <v>263612.36200178385</v>
      </c>
      <c r="J10" s="28">
        <f t="shared" si="3"/>
        <v>0.21349153710680449</v>
      </c>
      <c r="K10" s="141">
        <v>22148.937143119318</v>
      </c>
      <c r="L10" s="28">
        <f t="shared" si="4"/>
        <v>0.15723092115751683</v>
      </c>
      <c r="M10" s="141">
        <v>285761.29914490011</v>
      </c>
      <c r="N10" s="28">
        <f t="shared" si="5"/>
        <v>0.20773029868486051</v>
      </c>
    </row>
    <row r="11" spans="2:32" x14ac:dyDescent="0.2">
      <c r="B11" s="25" t="s">
        <v>43</v>
      </c>
      <c r="C11" s="141">
        <v>48332.704117212255</v>
      </c>
      <c r="D11" s="28">
        <f t="shared" si="0"/>
        <v>0.13024453266901753</v>
      </c>
      <c r="E11" s="141">
        <v>4162287.6655531628</v>
      </c>
      <c r="F11" s="28">
        <f t="shared" si="1"/>
        <v>0.18604330417947385</v>
      </c>
      <c r="G11" s="141">
        <v>10339990.290142443</v>
      </c>
      <c r="H11" s="28">
        <f t="shared" si="2"/>
        <v>0.13592899728372737</v>
      </c>
      <c r="I11" s="141">
        <v>225895.37279172518</v>
      </c>
      <c r="J11" s="28">
        <f t="shared" si="3"/>
        <v>0.18294570860183593</v>
      </c>
      <c r="K11" s="141">
        <v>18522.523581387384</v>
      </c>
      <c r="L11" s="28">
        <f t="shared" si="4"/>
        <v>0.1314877290068111</v>
      </c>
      <c r="M11" s="141">
        <v>244417.89637311254</v>
      </c>
      <c r="N11" s="28">
        <f t="shared" si="5"/>
        <v>0.17767627306231779</v>
      </c>
    </row>
    <row r="12" spans="2:32" x14ac:dyDescent="0.2">
      <c r="B12" s="25" t="s">
        <v>44</v>
      </c>
      <c r="C12" s="141">
        <v>35141.69241133269</v>
      </c>
      <c r="D12" s="28">
        <f t="shared" si="0"/>
        <v>9.4698059810860422E-2</v>
      </c>
      <c r="E12" s="141">
        <v>4182007.6013396694</v>
      </c>
      <c r="F12" s="28">
        <f t="shared" si="1"/>
        <v>0.18692473340943583</v>
      </c>
      <c r="G12" s="141">
        <v>12302136.416565971</v>
      </c>
      <c r="H12" s="28">
        <f t="shared" si="2"/>
        <v>0.16172327252044288</v>
      </c>
      <c r="I12" s="141">
        <v>260811.77251584528</v>
      </c>
      <c r="J12" s="28">
        <f t="shared" si="3"/>
        <v>0.21122342589374182</v>
      </c>
      <c r="K12" s="141">
        <v>23131.793463193146</v>
      </c>
      <c r="L12" s="28">
        <f t="shared" si="4"/>
        <v>0.16420802365106479</v>
      </c>
      <c r="M12" s="141">
        <v>283943.56597903813</v>
      </c>
      <c r="N12" s="28">
        <f t="shared" si="5"/>
        <v>0.20640892222624349</v>
      </c>
    </row>
    <row r="13" spans="2:32" x14ac:dyDescent="0.2">
      <c r="B13" s="25" t="s">
        <v>45</v>
      </c>
      <c r="C13" s="141">
        <v>12593.389848298528</v>
      </c>
      <c r="D13" s="28">
        <f t="shared" si="0"/>
        <v>3.3936031626384332E-2</v>
      </c>
      <c r="E13" s="141">
        <v>2313978.3498781836</v>
      </c>
      <c r="F13" s="28">
        <f t="shared" si="1"/>
        <v>0.10342874222123015</v>
      </c>
      <c r="G13" s="141">
        <v>9185708.4988975804</v>
      </c>
      <c r="H13" s="28">
        <f t="shared" si="2"/>
        <v>0.12075486635476908</v>
      </c>
      <c r="I13" s="141">
        <v>168704.80138994963</v>
      </c>
      <c r="J13" s="28">
        <f t="shared" si="3"/>
        <v>0.13662882534239723</v>
      </c>
      <c r="K13" s="141">
        <v>18413.481473515123</v>
      </c>
      <c r="L13" s="28">
        <f t="shared" si="4"/>
        <v>0.13071366066416654</v>
      </c>
      <c r="M13" s="141">
        <v>187118.28286346252</v>
      </c>
      <c r="N13" s="28">
        <f t="shared" si="5"/>
        <v>0.13602309656674511</v>
      </c>
    </row>
    <row r="14" spans="2:32" x14ac:dyDescent="0.2">
      <c r="B14" s="25" t="s">
        <v>46</v>
      </c>
      <c r="C14" s="141">
        <v>3477.8240138351507</v>
      </c>
      <c r="D14" s="28">
        <f t="shared" si="0"/>
        <v>9.3718646961806346E-3</v>
      </c>
      <c r="E14" s="141">
        <v>1134186.4275960361</v>
      </c>
      <c r="F14" s="28">
        <f t="shared" si="1"/>
        <v>5.0695148317538852E-2</v>
      </c>
      <c r="G14" s="141">
        <v>6445427.3281755252</v>
      </c>
      <c r="H14" s="28">
        <f t="shared" si="2"/>
        <v>8.4731266587288426E-2</v>
      </c>
      <c r="I14" s="141">
        <v>91900.739675194141</v>
      </c>
      <c r="J14" s="28">
        <f t="shared" si="3"/>
        <v>7.4427580047921743E-2</v>
      </c>
      <c r="K14" s="141">
        <v>13732.260740884787</v>
      </c>
      <c r="L14" s="28">
        <f t="shared" si="4"/>
        <v>9.7482601170109248E-2</v>
      </c>
      <c r="M14" s="141">
        <v>105633.00041607863</v>
      </c>
      <c r="N14" s="28">
        <f t="shared" si="5"/>
        <v>7.6788476231987424E-2</v>
      </c>
    </row>
    <row r="15" spans="2:32" x14ac:dyDescent="0.2">
      <c r="B15" s="25" t="s">
        <v>47</v>
      </c>
      <c r="C15" s="141">
        <v>671.25412254844684</v>
      </c>
      <c r="D15" s="28">
        <f t="shared" si="0"/>
        <v>1.8088617446574706E-3</v>
      </c>
      <c r="E15" s="141">
        <v>433170.01095623919</v>
      </c>
      <c r="F15" s="28">
        <f t="shared" si="1"/>
        <v>1.9361559456041955E-2</v>
      </c>
      <c r="G15" s="141">
        <v>3821981.3797302605</v>
      </c>
      <c r="H15" s="28">
        <f t="shared" si="2"/>
        <v>5.0243576831894135E-2</v>
      </c>
      <c r="I15" s="141">
        <v>36306.123380094075</v>
      </c>
      <c r="J15" s="28">
        <f t="shared" si="3"/>
        <v>2.9403211700493492E-2</v>
      </c>
      <c r="K15" s="141">
        <v>8198.1972726163094</v>
      </c>
      <c r="L15" s="28">
        <f t="shared" si="4"/>
        <v>5.8197379886688695E-2</v>
      </c>
      <c r="M15" s="141">
        <v>44504.320652710368</v>
      </c>
      <c r="N15" s="28">
        <f t="shared" si="5"/>
        <v>3.2351811983002465E-2</v>
      </c>
    </row>
    <row r="16" spans="2:32" x14ac:dyDescent="0.2">
      <c r="B16" s="101" t="s">
        <v>48</v>
      </c>
      <c r="C16" s="141">
        <v>192.16846576372342</v>
      </c>
      <c r="D16" s="28">
        <f t="shared" si="0"/>
        <v>5.1784588663651774E-4</v>
      </c>
      <c r="E16" s="141">
        <v>468688.31328706065</v>
      </c>
      <c r="F16" s="28">
        <f t="shared" si="1"/>
        <v>2.0949134091778558E-2</v>
      </c>
      <c r="G16" s="141">
        <v>6540747.9791075476</v>
      </c>
      <c r="H16" s="28">
        <f t="shared" si="2"/>
        <v>8.5984347116191281E-2</v>
      </c>
      <c r="I16" s="141">
        <v>33368.217513037969</v>
      </c>
      <c r="J16" s="28">
        <f t="shared" si="3"/>
        <v>2.7023892177425513E-2</v>
      </c>
      <c r="K16" s="141">
        <v>11417.343197996765</v>
      </c>
      <c r="L16" s="28">
        <f t="shared" si="4"/>
        <v>8.1049459691577827E-2</v>
      </c>
      <c r="M16" s="141">
        <v>44785.560711034763</v>
      </c>
      <c r="N16" s="28">
        <f t="shared" si="5"/>
        <v>3.2556255627025271E-2</v>
      </c>
    </row>
    <row r="17" spans="2:14" x14ac:dyDescent="0.2">
      <c r="B17" s="10" t="s">
        <v>0</v>
      </c>
      <c r="C17" s="96">
        <f>SUM(C5:C16)</f>
        <v>371092.00000000926</v>
      </c>
      <c r="D17" s="29">
        <f t="shared" ref="D17:L17" si="6">SUM(D5:D16)</f>
        <v>1.0000000000000002</v>
      </c>
      <c r="E17" s="96">
        <f t="shared" si="6"/>
        <v>22372681.908174731</v>
      </c>
      <c r="F17" s="29">
        <f t="shared" si="6"/>
        <v>0.99999999999999989</v>
      </c>
      <c r="G17" s="96">
        <f t="shared" si="6"/>
        <v>76069054.409042463</v>
      </c>
      <c r="H17" s="29">
        <f t="shared" si="6"/>
        <v>1.0000000000000002</v>
      </c>
      <c r="I17" s="96">
        <f t="shared" si="6"/>
        <v>1234767.2679404858</v>
      </c>
      <c r="J17" s="29">
        <f t="shared" si="6"/>
        <v>1</v>
      </c>
      <c r="K17" s="96">
        <f t="shared" si="6"/>
        <v>140868.83788545706</v>
      </c>
      <c r="L17" s="29">
        <f t="shared" si="6"/>
        <v>1</v>
      </c>
      <c r="M17" s="96">
        <f t="shared" ref="M17" si="7">SUM(M5:M16)</f>
        <v>1375636.1058259362</v>
      </c>
      <c r="N17" s="29">
        <f t="shared" ref="N17" si="8">SUM(N5:N16)</f>
        <v>0.99999999999999989</v>
      </c>
    </row>
    <row r="19" spans="2:14" x14ac:dyDescent="0.2">
      <c r="B19" s="261" t="s">
        <v>447</v>
      </c>
      <c r="C19" s="260"/>
      <c r="D19" s="260"/>
      <c r="E19" s="260"/>
      <c r="F19" s="260"/>
      <c r="G19" s="260"/>
      <c r="H19" s="260"/>
      <c r="I19" s="260"/>
      <c r="J19" s="260"/>
      <c r="K19" s="260"/>
      <c r="L19" s="260"/>
      <c r="M19" s="260"/>
      <c r="N19" s="260"/>
    </row>
  </sheetData>
  <mergeCells count="8">
    <mergeCell ref="B19:N19"/>
    <mergeCell ref="B3:B4"/>
    <mergeCell ref="C3:D3"/>
    <mergeCell ref="E3:F3"/>
    <mergeCell ref="G3:H3"/>
    <mergeCell ref="I3:J3"/>
    <mergeCell ref="K3:L3"/>
    <mergeCell ref="M3:N3"/>
  </mergeCells>
  <pageMargins left="0.78740157480314965" right="0.78740157480314965" top="0.98425196850393704" bottom="0.98425196850393704" header="0.51181102362204722" footer="0.51181102362204722"/>
  <pageSetup paperSize="9" scale="85" orientation="landscape" r:id="rId1"/>
  <headerFooter alignWithMargins="0"/>
  <colBreaks count="1" manualBreakCount="1">
    <brk id="14" max="42"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B1:AF22"/>
  <sheetViews>
    <sheetView view="pageBreakPreview" zoomScaleNormal="100" zoomScaleSheetLayoutView="100" zoomScalePageLayoutView="70" workbookViewId="0"/>
  </sheetViews>
  <sheetFormatPr baseColWidth="10" defaultRowHeight="12.75" x14ac:dyDescent="0.2"/>
  <cols>
    <col min="1" max="1" width="2" style="144" customWidth="1"/>
    <col min="2" max="2" width="15.42578125" style="144" customWidth="1"/>
    <col min="3" max="3" width="13.140625" style="144" customWidth="1"/>
    <col min="4" max="4" width="10.42578125" style="144" customWidth="1"/>
    <col min="5" max="5" width="12.140625" style="144" customWidth="1"/>
    <col min="6" max="6" width="10.42578125" style="144" customWidth="1"/>
    <col min="7" max="7" width="13.140625" style="144" customWidth="1"/>
    <col min="8" max="8" width="10.42578125" style="144" customWidth="1"/>
    <col min="9" max="9" width="12" style="144" bestFit="1" customWidth="1"/>
    <col min="10" max="10" width="10.42578125" style="144" customWidth="1"/>
    <col min="11" max="11" width="12.140625" style="144" customWidth="1"/>
    <col min="12" max="12" width="10.42578125" style="144" customWidth="1"/>
    <col min="13" max="13" width="12.140625" style="144" customWidth="1"/>
    <col min="14" max="14" width="10.42578125" style="144" customWidth="1"/>
    <col min="15" max="15" width="11.42578125" style="144"/>
    <col min="16" max="16" width="27.140625" style="144" bestFit="1" customWidth="1"/>
    <col min="17" max="17" width="13.42578125" style="144" customWidth="1"/>
    <col min="18" max="23" width="11.5703125" style="144" bestFit="1" customWidth="1"/>
    <col min="24" max="24" width="12.28515625" style="144" bestFit="1" customWidth="1"/>
    <col min="25" max="16384" width="11.42578125" style="144"/>
  </cols>
  <sheetData>
    <row r="1" spans="2:32" s="11" customFormat="1" ht="15.75" x14ac:dyDescent="0.2">
      <c r="B1" s="213" t="str">
        <f>Inhaltsverzeichnis!B55&amp;" "&amp;Inhaltsverzeichnis!C55&amp;" "&amp;Inhaltsverzeichnis!E55</f>
        <v>Tabelle 21b: Verteilung der Pflichtigen und Einkommenssteuer nach Stufen des steuerbaren Einkommens, 2013</v>
      </c>
      <c r="C1" s="214"/>
      <c r="D1" s="214"/>
      <c r="E1" s="214"/>
      <c r="F1" s="214"/>
      <c r="G1" s="214"/>
      <c r="H1" s="214"/>
      <c r="I1" s="214"/>
      <c r="J1" s="214"/>
      <c r="K1" s="214"/>
      <c r="L1" s="214"/>
      <c r="M1" s="214"/>
      <c r="N1" s="214"/>
      <c r="O1" s="214"/>
      <c r="P1" s="214"/>
      <c r="Q1" s="214"/>
      <c r="R1" s="214"/>
      <c r="S1" s="214"/>
      <c r="T1" s="143"/>
      <c r="U1" s="143"/>
      <c r="V1" s="143"/>
      <c r="W1" s="143"/>
      <c r="X1" s="143"/>
      <c r="Y1" s="143"/>
      <c r="Z1" s="143"/>
      <c r="AA1" s="143"/>
      <c r="AB1" s="143"/>
      <c r="AC1" s="143"/>
      <c r="AD1" s="143"/>
      <c r="AE1" s="143"/>
      <c r="AF1" s="143"/>
    </row>
    <row r="3" spans="2:32" s="145" customFormat="1" ht="27" customHeight="1" x14ac:dyDescent="0.2">
      <c r="B3" s="248" t="s">
        <v>573</v>
      </c>
      <c r="C3" s="251" t="s">
        <v>441</v>
      </c>
      <c r="D3" s="247"/>
      <c r="E3" s="246" t="s">
        <v>116</v>
      </c>
      <c r="F3" s="250"/>
      <c r="G3" s="246" t="s">
        <v>118</v>
      </c>
      <c r="H3" s="247"/>
      <c r="I3" s="246" t="s">
        <v>130</v>
      </c>
      <c r="J3" s="247"/>
      <c r="K3" s="246" t="s">
        <v>131</v>
      </c>
      <c r="L3" s="247"/>
      <c r="M3" s="246" t="s">
        <v>132</v>
      </c>
      <c r="N3" s="247"/>
    </row>
    <row r="4" spans="2:32" ht="24.75" customHeight="1" x14ac:dyDescent="0.2">
      <c r="B4" s="249"/>
      <c r="C4" s="146" t="s">
        <v>1</v>
      </c>
      <c r="D4" s="146" t="s">
        <v>2</v>
      </c>
      <c r="E4" s="146" t="s">
        <v>3</v>
      </c>
      <c r="F4" s="146" t="s">
        <v>2</v>
      </c>
      <c r="G4" s="146" t="s">
        <v>3</v>
      </c>
      <c r="H4" s="146" t="s">
        <v>2</v>
      </c>
      <c r="I4" s="146" t="s">
        <v>3</v>
      </c>
      <c r="J4" s="146" t="s">
        <v>2</v>
      </c>
      <c r="K4" s="146" t="s">
        <v>3</v>
      </c>
      <c r="L4" s="146" t="s">
        <v>2</v>
      </c>
      <c r="M4" s="146" t="s">
        <v>3</v>
      </c>
      <c r="N4" s="146" t="s">
        <v>2</v>
      </c>
    </row>
    <row r="5" spans="2:32" x14ac:dyDescent="0.2">
      <c r="B5" s="24">
        <v>0</v>
      </c>
      <c r="C5" s="141">
        <v>41210.076555555526</v>
      </c>
      <c r="D5" s="28">
        <f t="shared" ref="D5:D11" si="0">C5/SUM($C$5:$C$11)</f>
        <v>0.11492156183140428</v>
      </c>
      <c r="E5" s="141">
        <v>0</v>
      </c>
      <c r="F5" s="28">
        <f t="shared" ref="F5:F11" si="1">E5/SUM($E$5:$E$11)</f>
        <v>0</v>
      </c>
      <c r="G5" s="141">
        <v>1769967.5673074124</v>
      </c>
      <c r="H5" s="28">
        <f t="shared" ref="H5:H11" si="2">G5/SUM($G$5:$G$11)</f>
        <v>2.3973296680788479E-2</v>
      </c>
      <c r="I5" s="141">
        <v>0</v>
      </c>
      <c r="J5" s="28">
        <f t="shared" ref="J5:J11" si="3">I5/SUM($I$5:$I$11)</f>
        <v>0</v>
      </c>
      <c r="K5" s="141">
        <v>3123.4757979087717</v>
      </c>
      <c r="L5" s="28">
        <f t="shared" ref="L5:L11" si="4">K5/SUM($K$5:$K$11)</f>
        <v>2.2885249559013093E-2</v>
      </c>
      <c r="M5" s="141">
        <v>3123.4757979087717</v>
      </c>
      <c r="N5" s="28">
        <f t="shared" ref="N5:N11" si="5">M5/SUM($M$5:$M$11)</f>
        <v>2.3012810322967253E-3</v>
      </c>
    </row>
    <row r="6" spans="2:32" x14ac:dyDescent="0.2">
      <c r="B6" s="25" t="s">
        <v>484</v>
      </c>
      <c r="C6" s="141">
        <v>35818.353282341137</v>
      </c>
      <c r="D6" s="28">
        <f t="shared" si="0"/>
        <v>9.988579118232023E-2</v>
      </c>
      <c r="E6" s="141">
        <v>518946.35206268623</v>
      </c>
      <c r="F6" s="28">
        <f t="shared" si="1"/>
        <v>2.340384011922746E-2</v>
      </c>
      <c r="G6" s="141">
        <v>2239235.033034299</v>
      </c>
      <c r="H6" s="28">
        <f t="shared" si="2"/>
        <v>3.0329282172447201E-2</v>
      </c>
      <c r="I6" s="141">
        <v>9621.9396494207504</v>
      </c>
      <c r="J6" s="28">
        <f t="shared" si="3"/>
        <v>7.8817142374084503E-3</v>
      </c>
      <c r="K6" s="141">
        <v>3843.2085193611497</v>
      </c>
      <c r="L6" s="28">
        <f t="shared" si="4"/>
        <v>2.815862576293731E-2</v>
      </c>
      <c r="M6" s="141">
        <v>13465.148168782023</v>
      </c>
      <c r="N6" s="28">
        <f t="shared" si="5"/>
        <v>9.9207075971677189E-3</v>
      </c>
    </row>
    <row r="7" spans="2:32" x14ac:dyDescent="0.2">
      <c r="B7" s="25" t="s">
        <v>479</v>
      </c>
      <c r="C7" s="141">
        <v>93568.655443362441</v>
      </c>
      <c r="D7" s="28">
        <f t="shared" si="0"/>
        <v>0.26093268736153613</v>
      </c>
      <c r="E7" s="141">
        <v>3651473.1963880928</v>
      </c>
      <c r="F7" s="28">
        <f t="shared" si="1"/>
        <v>0.16467693538693265</v>
      </c>
      <c r="G7" s="141">
        <v>9320792.6540465206</v>
      </c>
      <c r="H7" s="28">
        <f t="shared" si="2"/>
        <v>0.12624532320414081</v>
      </c>
      <c r="I7" s="141">
        <v>140770.58337884842</v>
      </c>
      <c r="J7" s="28">
        <f t="shared" si="3"/>
        <v>0.11531079508404074</v>
      </c>
      <c r="K7" s="141">
        <v>15713.051726134607</v>
      </c>
      <c r="L7" s="28">
        <f t="shared" si="4"/>
        <v>0.11512722791930363</v>
      </c>
      <c r="M7" s="141">
        <v>156483.63510498218</v>
      </c>
      <c r="N7" s="28">
        <f t="shared" si="5"/>
        <v>0.11529233604852647</v>
      </c>
    </row>
    <row r="8" spans="2:32" x14ac:dyDescent="0.2">
      <c r="B8" s="25" t="s">
        <v>480</v>
      </c>
      <c r="C8" s="141">
        <v>88230.577136511289</v>
      </c>
      <c r="D8" s="28">
        <f t="shared" si="0"/>
        <v>0.24604651515618572</v>
      </c>
      <c r="E8" s="141">
        <v>5414024.5912954342</v>
      </c>
      <c r="F8" s="28">
        <f t="shared" si="1"/>
        <v>0.24416582838015269</v>
      </c>
      <c r="G8" s="141">
        <v>12526735.648237554</v>
      </c>
      <c r="H8" s="28">
        <f t="shared" si="2"/>
        <v>0.16966816549856589</v>
      </c>
      <c r="I8" s="141">
        <v>262150.25522362569</v>
      </c>
      <c r="J8" s="28">
        <f t="shared" si="3"/>
        <v>0.21473772172959912</v>
      </c>
      <c r="K8" s="141">
        <v>21820.622066563981</v>
      </c>
      <c r="L8" s="28">
        <f t="shared" si="4"/>
        <v>0.15987650099948364</v>
      </c>
      <c r="M8" s="141">
        <v>283970.87729018735</v>
      </c>
      <c r="N8" s="28">
        <f t="shared" si="5"/>
        <v>0.20922102039980522</v>
      </c>
    </row>
    <row r="9" spans="2:32" x14ac:dyDescent="0.2">
      <c r="B9" s="25" t="s">
        <v>481</v>
      </c>
      <c r="C9" s="141">
        <v>48145.57131449545</v>
      </c>
      <c r="D9" s="28">
        <f t="shared" si="0"/>
        <v>0.1342624113611644</v>
      </c>
      <c r="E9" s="141">
        <v>4146102.1275334838</v>
      </c>
      <c r="F9" s="28">
        <f t="shared" si="1"/>
        <v>0.18698408982950351</v>
      </c>
      <c r="G9" s="141">
        <v>10218642.886501027</v>
      </c>
      <c r="H9" s="28">
        <f t="shared" si="2"/>
        <v>0.13840624094925583</v>
      </c>
      <c r="I9" s="141">
        <v>224747.43651467405</v>
      </c>
      <c r="J9" s="28">
        <f t="shared" si="3"/>
        <v>0.18409958228176976</v>
      </c>
      <c r="K9" s="141">
        <v>18269.139251428252</v>
      </c>
      <c r="L9" s="28">
        <f t="shared" si="4"/>
        <v>0.13385530673143656</v>
      </c>
      <c r="M9" s="141">
        <v>243016.57576610215</v>
      </c>
      <c r="N9" s="28">
        <f t="shared" si="5"/>
        <v>0.17904714892257509</v>
      </c>
    </row>
    <row r="10" spans="2:32" x14ac:dyDescent="0.2">
      <c r="B10" s="25" t="s">
        <v>482</v>
      </c>
      <c r="C10" s="141">
        <v>44049.004469164342</v>
      </c>
      <c r="D10" s="28">
        <f t="shared" si="0"/>
        <v>0.12283841268507524</v>
      </c>
      <c r="E10" s="141">
        <v>5707566.2613301082</v>
      </c>
      <c r="F10" s="28">
        <f t="shared" si="1"/>
        <v>0.25740419548017357</v>
      </c>
      <c r="G10" s="141">
        <v>17846978.043912187</v>
      </c>
      <c r="H10" s="28">
        <f t="shared" si="2"/>
        <v>0.24172810135334796</v>
      </c>
      <c r="I10" s="141">
        <v>369198.10032947798</v>
      </c>
      <c r="J10" s="28">
        <f t="shared" si="3"/>
        <v>0.30242487791598022</v>
      </c>
      <c r="K10" s="141">
        <v>34039.668218350453</v>
      </c>
      <c r="L10" s="28">
        <f t="shared" si="4"/>
        <v>0.24940366197315075</v>
      </c>
      <c r="M10" s="141">
        <v>403237.76854782499</v>
      </c>
      <c r="N10" s="28">
        <f t="shared" si="5"/>
        <v>0.29709320267058142</v>
      </c>
    </row>
    <row r="11" spans="2:32" x14ac:dyDescent="0.2">
      <c r="B11" s="26" t="s">
        <v>483</v>
      </c>
      <c r="C11" s="141">
        <v>7570.8395363470418</v>
      </c>
      <c r="D11" s="28">
        <f t="shared" si="0"/>
        <v>2.1112620422314043E-2</v>
      </c>
      <c r="E11" s="141">
        <v>2735443.1536623975</v>
      </c>
      <c r="F11" s="28">
        <f t="shared" si="1"/>
        <v>0.12336511080401007</v>
      </c>
      <c r="G11" s="141">
        <v>19908443.775719061</v>
      </c>
      <c r="H11" s="28">
        <f t="shared" si="2"/>
        <v>0.26964959014145384</v>
      </c>
      <c r="I11" s="141">
        <v>214304.44135188227</v>
      </c>
      <c r="J11" s="28">
        <f t="shared" si="3"/>
        <v>0.17554530875120167</v>
      </c>
      <c r="K11" s="141">
        <v>39675.070253225262</v>
      </c>
      <c r="L11" s="28">
        <f t="shared" si="4"/>
        <v>0.29069342705467516</v>
      </c>
      <c r="M11" s="141">
        <v>253979.51160510723</v>
      </c>
      <c r="N11" s="28">
        <f t="shared" si="5"/>
        <v>0.18712430332904736</v>
      </c>
    </row>
    <row r="12" spans="2:32" x14ac:dyDescent="0.2">
      <c r="B12" s="10" t="s">
        <v>0</v>
      </c>
      <c r="C12" s="96">
        <f t="shared" ref="C12:N12" si="6">SUM(C5:C11)</f>
        <v>358593.0777377772</v>
      </c>
      <c r="D12" s="29">
        <f t="shared" si="6"/>
        <v>1</v>
      </c>
      <c r="E12" s="96">
        <f t="shared" si="6"/>
        <v>22173555.682272203</v>
      </c>
      <c r="F12" s="29">
        <f t="shared" si="6"/>
        <v>0.99999999999999989</v>
      </c>
      <c r="G12" s="96">
        <f t="shared" si="6"/>
        <v>73830795.608758062</v>
      </c>
      <c r="H12" s="29">
        <f t="shared" si="6"/>
        <v>1</v>
      </c>
      <c r="I12" s="96">
        <f t="shared" si="6"/>
        <v>1220792.7564479292</v>
      </c>
      <c r="J12" s="29">
        <f t="shared" si="6"/>
        <v>0.99999999999999989</v>
      </c>
      <c r="K12" s="96">
        <f t="shared" si="6"/>
        <v>136484.23583297245</v>
      </c>
      <c r="L12" s="29">
        <f t="shared" si="6"/>
        <v>1</v>
      </c>
      <c r="M12" s="96">
        <f t="shared" si="6"/>
        <v>1357276.9922808947</v>
      </c>
      <c r="N12" s="29">
        <f t="shared" si="6"/>
        <v>1</v>
      </c>
    </row>
    <row r="14" spans="2:32" x14ac:dyDescent="0.2">
      <c r="B14" s="261" t="s">
        <v>33</v>
      </c>
      <c r="C14" s="260"/>
      <c r="D14" s="260"/>
      <c r="E14" s="260"/>
      <c r="F14" s="260"/>
      <c r="G14" s="260"/>
      <c r="H14" s="260"/>
      <c r="I14" s="260"/>
      <c r="J14" s="260"/>
      <c r="K14" s="260"/>
      <c r="L14" s="260"/>
      <c r="M14" s="260"/>
      <c r="N14" s="260"/>
    </row>
    <row r="18" spans="16:24" x14ac:dyDescent="0.2">
      <c r="P18" s="154" t="s">
        <v>493</v>
      </c>
      <c r="Q18" s="156" t="s">
        <v>496</v>
      </c>
      <c r="R18" s="154" t="s">
        <v>497</v>
      </c>
      <c r="S18" s="154" t="s">
        <v>498</v>
      </c>
      <c r="T18" s="154" t="s">
        <v>499</v>
      </c>
      <c r="U18" s="154" t="s">
        <v>500</v>
      </c>
      <c r="V18" s="154" t="s">
        <v>501</v>
      </c>
      <c r="W18" s="154" t="s">
        <v>502</v>
      </c>
      <c r="X18" s="154" t="s">
        <v>0</v>
      </c>
    </row>
    <row r="19" spans="16:24" x14ac:dyDescent="0.2">
      <c r="P19" s="154" t="s">
        <v>10</v>
      </c>
      <c r="Q19" s="155">
        <f>C5</f>
        <v>41210.076555555526</v>
      </c>
      <c r="R19" s="155">
        <f>C6</f>
        <v>35818.353282341137</v>
      </c>
      <c r="S19" s="155">
        <f>C7</f>
        <v>93568.655443362441</v>
      </c>
      <c r="T19" s="155">
        <f>C8</f>
        <v>88230.577136511289</v>
      </c>
      <c r="U19" s="155">
        <f>C9</f>
        <v>48145.57131449545</v>
      </c>
      <c r="V19" s="155">
        <f>C10</f>
        <v>44049.004469164342</v>
      </c>
      <c r="W19" s="155">
        <f>C11</f>
        <v>7570.8395363470418</v>
      </c>
      <c r="X19" s="155">
        <f>C12</f>
        <v>358593.0777377772</v>
      </c>
    </row>
    <row r="20" spans="16:24" x14ac:dyDescent="0.2">
      <c r="P20" s="154" t="s">
        <v>478</v>
      </c>
      <c r="Q20" s="155">
        <f>I5</f>
        <v>0</v>
      </c>
      <c r="R20" s="155">
        <f>I6</f>
        <v>9621.9396494207504</v>
      </c>
      <c r="S20" s="155">
        <f>I7</f>
        <v>140770.58337884842</v>
      </c>
      <c r="T20" s="155">
        <f>I8</f>
        <v>262150.25522362569</v>
      </c>
      <c r="U20" s="155">
        <f>I9</f>
        <v>224747.43651467405</v>
      </c>
      <c r="V20" s="155">
        <f>I10</f>
        <v>369198.10032947798</v>
      </c>
      <c r="W20" s="155">
        <f>I11</f>
        <v>214304.44135188227</v>
      </c>
      <c r="X20" s="155">
        <f>I12</f>
        <v>1220792.7564479292</v>
      </c>
    </row>
    <row r="21" spans="16:24" x14ac:dyDescent="0.2">
      <c r="P21" s="154" t="s">
        <v>10</v>
      </c>
      <c r="Q21" s="157">
        <f>Q19/$X$19</f>
        <v>0.11492156183140428</v>
      </c>
      <c r="R21" s="157">
        <f t="shared" ref="R21:X21" si="7">R19/$X$19</f>
        <v>9.988579118232023E-2</v>
      </c>
      <c r="S21" s="157">
        <f t="shared" si="7"/>
        <v>0.26093268736153613</v>
      </c>
      <c r="T21" s="157">
        <f t="shared" si="7"/>
        <v>0.24604651515618572</v>
      </c>
      <c r="U21" s="157">
        <f t="shared" si="7"/>
        <v>0.1342624113611644</v>
      </c>
      <c r="V21" s="157">
        <f t="shared" si="7"/>
        <v>0.12283841268507524</v>
      </c>
      <c r="W21" s="157">
        <f t="shared" si="7"/>
        <v>2.1112620422314043E-2</v>
      </c>
      <c r="X21" s="157">
        <f t="shared" si="7"/>
        <v>1</v>
      </c>
    </row>
    <row r="22" spans="16:24" x14ac:dyDescent="0.2">
      <c r="P22" s="154" t="s">
        <v>490</v>
      </c>
      <c r="Q22" s="157">
        <f>Q20/$X$20</f>
        <v>0</v>
      </c>
      <c r="R22" s="157">
        <f t="shared" ref="R22:X22" si="8">R20/$X$20</f>
        <v>7.8817142374084503E-3</v>
      </c>
      <c r="S22" s="157">
        <f t="shared" si="8"/>
        <v>0.11531079508404074</v>
      </c>
      <c r="T22" s="157">
        <f t="shared" si="8"/>
        <v>0.21473772172959912</v>
      </c>
      <c r="U22" s="157">
        <f t="shared" si="8"/>
        <v>0.18409958228176976</v>
      </c>
      <c r="V22" s="157">
        <f t="shared" si="8"/>
        <v>0.30242487791598022</v>
      </c>
      <c r="W22" s="157">
        <f t="shared" si="8"/>
        <v>0.17554530875120167</v>
      </c>
      <c r="X22" s="157">
        <f t="shared" si="8"/>
        <v>1</v>
      </c>
    </row>
  </sheetData>
  <mergeCells count="8">
    <mergeCell ref="B14:N14"/>
    <mergeCell ref="B3:B4"/>
    <mergeCell ref="C3:D3"/>
    <mergeCell ref="E3:F3"/>
    <mergeCell ref="G3:H3"/>
    <mergeCell ref="I3:J3"/>
    <mergeCell ref="K3:L3"/>
    <mergeCell ref="M3:N3"/>
  </mergeCells>
  <pageMargins left="0.78740157480314965" right="0.78740157480314965" top="0.98425196850393704" bottom="0.98425196850393704" header="0.51181102362204722" footer="0.51181102362204722"/>
  <pageSetup paperSize="9" scale="74" orientation="landscape" r:id="rId1"/>
  <headerFooter alignWithMargins="0"/>
  <colBreaks count="1" manualBreakCount="1">
    <brk id="14" max="42" man="1"/>
  </colBreaks>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B1:AF18"/>
  <sheetViews>
    <sheetView view="pageBreakPreview" zoomScaleNormal="100" zoomScaleSheetLayoutView="100" zoomScalePageLayoutView="70" workbookViewId="0"/>
  </sheetViews>
  <sheetFormatPr baseColWidth="10" defaultRowHeight="12.75" x14ac:dyDescent="0.2"/>
  <cols>
    <col min="1" max="1" width="2" style="81" customWidth="1"/>
    <col min="2" max="2" width="16.28515625" style="81" customWidth="1"/>
    <col min="3" max="3" width="13.140625" style="81" customWidth="1"/>
    <col min="4" max="4" width="10.42578125" style="81" customWidth="1"/>
    <col min="5" max="5" width="12.140625" style="81" customWidth="1"/>
    <col min="6" max="6" width="10.42578125" style="81" customWidth="1"/>
    <col min="7" max="7" width="13.140625" style="81" customWidth="1"/>
    <col min="8" max="8" width="10.42578125" style="81" customWidth="1"/>
    <col min="9" max="9" width="12" style="81" bestFit="1" customWidth="1"/>
    <col min="10" max="10" width="10.42578125" style="81" customWidth="1"/>
    <col min="11" max="11" width="12.140625" style="81" customWidth="1"/>
    <col min="12" max="12" width="10.42578125" style="81" customWidth="1"/>
    <col min="13" max="13" width="12.140625" style="81" customWidth="1"/>
    <col min="14" max="14" width="10.42578125" style="81" customWidth="1"/>
    <col min="15" max="16384" width="11.42578125" style="81"/>
  </cols>
  <sheetData>
    <row r="1" spans="2:32" s="11" customFormat="1" ht="15.75" x14ac:dyDescent="0.2">
      <c r="B1" s="213" t="str">
        <f>Inhaltsverzeichnis!B56&amp;" "&amp;Inhaltsverzeichnis!C56&amp;" "&amp;Inhaltsverzeichnis!E56</f>
        <v>Tabelle 22a: Verteilung der Pflichtigen, Steuerfaktoren und Steuern nach Stufen des steuerbaren Vermögens, 2013</v>
      </c>
      <c r="C1" s="214"/>
      <c r="D1" s="214"/>
      <c r="E1" s="214"/>
      <c r="F1" s="214"/>
      <c r="G1" s="214"/>
      <c r="H1" s="214"/>
      <c r="I1" s="214"/>
      <c r="J1" s="214"/>
      <c r="K1" s="214"/>
      <c r="L1" s="214"/>
      <c r="M1" s="214"/>
      <c r="N1" s="214"/>
      <c r="O1" s="214"/>
      <c r="P1" s="214"/>
      <c r="Q1" s="214"/>
      <c r="R1" s="214"/>
      <c r="S1" s="214"/>
      <c r="T1" s="78"/>
      <c r="U1" s="78"/>
      <c r="V1" s="78"/>
      <c r="W1" s="78"/>
      <c r="X1" s="78"/>
      <c r="Y1" s="78"/>
      <c r="Z1" s="78"/>
      <c r="AA1" s="78"/>
      <c r="AB1" s="78"/>
      <c r="AC1" s="78"/>
      <c r="AD1" s="78"/>
      <c r="AE1" s="78"/>
      <c r="AF1" s="78"/>
    </row>
    <row r="3" spans="2:32" s="45" customFormat="1" ht="27" customHeight="1" x14ac:dyDescent="0.2">
      <c r="B3" s="248" t="s">
        <v>574</v>
      </c>
      <c r="C3" s="251" t="s">
        <v>441</v>
      </c>
      <c r="D3" s="247"/>
      <c r="E3" s="246" t="s">
        <v>116</v>
      </c>
      <c r="F3" s="250"/>
      <c r="G3" s="246" t="s">
        <v>118</v>
      </c>
      <c r="H3" s="247"/>
      <c r="I3" s="246" t="s">
        <v>130</v>
      </c>
      <c r="J3" s="247"/>
      <c r="K3" s="246" t="s">
        <v>131</v>
      </c>
      <c r="L3" s="247"/>
      <c r="M3" s="246" t="s">
        <v>132</v>
      </c>
      <c r="N3" s="247"/>
    </row>
    <row r="4" spans="2:32" ht="24.75" customHeight="1" x14ac:dyDescent="0.2">
      <c r="B4" s="249"/>
      <c r="C4" s="47" t="s">
        <v>1</v>
      </c>
      <c r="D4" s="47" t="s">
        <v>2</v>
      </c>
      <c r="E4" s="47" t="s">
        <v>3</v>
      </c>
      <c r="F4" s="47" t="s">
        <v>2</v>
      </c>
      <c r="G4" s="47" t="s">
        <v>3</v>
      </c>
      <c r="H4" s="47" t="s">
        <v>2</v>
      </c>
      <c r="I4" s="47" t="s">
        <v>3</v>
      </c>
      <c r="J4" s="47" t="s">
        <v>2</v>
      </c>
      <c r="K4" s="47" t="s">
        <v>3</v>
      </c>
      <c r="L4" s="47" t="s">
        <v>2</v>
      </c>
      <c r="M4" s="47" t="s">
        <v>3</v>
      </c>
      <c r="N4" s="47" t="s">
        <v>2</v>
      </c>
    </row>
    <row r="5" spans="2:32" x14ac:dyDescent="0.2">
      <c r="B5" s="25">
        <v>0</v>
      </c>
      <c r="C5" s="141">
        <v>243493.64791349505</v>
      </c>
      <c r="D5" s="28">
        <f t="shared" ref="D5:D15" si="0">C5/SUM($C$5:$C$15)</f>
        <v>0.65615439813692389</v>
      </c>
      <c r="E5" s="141">
        <v>11908434.497504819</v>
      </c>
      <c r="F5" s="28">
        <f t="shared" ref="F5:F15" si="1">E5/SUM($E$5:$E$15)</f>
        <v>0.53227568095687305</v>
      </c>
      <c r="G5" s="141">
        <v>0</v>
      </c>
      <c r="H5" s="28">
        <f t="shared" ref="H5:H15" si="2">G5/SUM($G$5:$G$15)</f>
        <v>0</v>
      </c>
      <c r="I5" s="141">
        <v>601558.30936591304</v>
      </c>
      <c r="J5" s="28">
        <f t="shared" ref="J5:J15" si="3">I5/SUM($I$5:$I$15)</f>
        <v>0.48718355675987551</v>
      </c>
      <c r="K5" s="141">
        <v>0</v>
      </c>
      <c r="L5" s="28">
        <f t="shared" ref="L5:L15" si="4">K5/SUM($K$5:$K$15)</f>
        <v>0</v>
      </c>
      <c r="M5" s="141">
        <v>601558.30936591304</v>
      </c>
      <c r="N5" s="28">
        <f t="shared" ref="N5:N15" si="5">M5/SUM($M$5:$M$15)</f>
        <v>0.43729464995740247</v>
      </c>
    </row>
    <row r="6" spans="2:32" x14ac:dyDescent="0.2">
      <c r="B6" s="25" t="s">
        <v>49</v>
      </c>
      <c r="C6" s="141">
        <v>11399.474744422394</v>
      </c>
      <c r="D6" s="28">
        <f t="shared" si="0"/>
        <v>3.071872943749589E-2</v>
      </c>
      <c r="E6" s="141">
        <v>635189.27533622319</v>
      </c>
      <c r="F6" s="28">
        <f t="shared" si="1"/>
        <v>2.8391288891661818E-2</v>
      </c>
      <c r="G6" s="141">
        <v>134024.11896622545</v>
      </c>
      <c r="H6" s="28">
        <f t="shared" si="2"/>
        <v>1.7618743917276014E-3</v>
      </c>
      <c r="I6" s="141">
        <v>35380.108800298505</v>
      </c>
      <c r="J6" s="28">
        <f t="shared" si="3"/>
        <v>2.8653260998172322E-2</v>
      </c>
      <c r="K6" s="141">
        <v>178.0279766581406</v>
      </c>
      <c r="L6" s="28">
        <f t="shared" si="4"/>
        <v>1.2637853717718519E-3</v>
      </c>
      <c r="M6" s="141">
        <v>35558.136776956802</v>
      </c>
      <c r="N6" s="28">
        <f t="shared" si="5"/>
        <v>2.5848505012601296E-2</v>
      </c>
    </row>
    <row r="7" spans="2:32" x14ac:dyDescent="0.2">
      <c r="B7" s="25" t="s">
        <v>51</v>
      </c>
      <c r="C7" s="141">
        <v>8948.9016702534955</v>
      </c>
      <c r="D7" s="28">
        <f t="shared" si="0"/>
        <v>2.4115048748695762E-2</v>
      </c>
      <c r="E7" s="141">
        <v>531338.67475929856</v>
      </c>
      <c r="F7" s="28">
        <f t="shared" si="1"/>
        <v>2.3749440363927544E-2</v>
      </c>
      <c r="G7" s="141">
        <v>327154.57897690125</v>
      </c>
      <c r="H7" s="28">
        <f t="shared" si="2"/>
        <v>4.3007577985353781E-3</v>
      </c>
      <c r="I7" s="141">
        <v>29650.538738766256</v>
      </c>
      <c r="J7" s="28">
        <f t="shared" si="3"/>
        <v>2.4013058580846444E-2</v>
      </c>
      <c r="K7" s="141">
        <v>434.03090787281917</v>
      </c>
      <c r="L7" s="28">
        <f t="shared" si="4"/>
        <v>3.0810995134760645E-3</v>
      </c>
      <c r="M7" s="141">
        <v>30084.569646639004</v>
      </c>
      <c r="N7" s="28">
        <f t="shared" si="5"/>
        <v>2.1869569662520839E-2</v>
      </c>
    </row>
    <row r="8" spans="2:32" x14ac:dyDescent="0.2">
      <c r="B8" s="25" t="s">
        <v>52</v>
      </c>
      <c r="C8" s="141">
        <v>14221.593127189522</v>
      </c>
      <c r="D8" s="28">
        <f t="shared" si="0"/>
        <v>3.8323631679436823E-2</v>
      </c>
      <c r="E8" s="141">
        <v>891709.40480187477</v>
      </c>
      <c r="F8" s="28">
        <f t="shared" si="1"/>
        <v>3.9857063559111526E-2</v>
      </c>
      <c r="G8" s="141">
        <v>1045121.1414816661</v>
      </c>
      <c r="H8" s="28">
        <f t="shared" si="2"/>
        <v>1.373911046483879E-2</v>
      </c>
      <c r="I8" s="141">
        <v>49878.20321684127</v>
      </c>
      <c r="J8" s="28">
        <f t="shared" si="3"/>
        <v>4.0394821365839703E-2</v>
      </c>
      <c r="K8" s="141">
        <v>1393.0643780907569</v>
      </c>
      <c r="L8" s="28">
        <f t="shared" si="4"/>
        <v>9.8890883108121181E-3</v>
      </c>
      <c r="M8" s="141">
        <v>51271.267594931836</v>
      </c>
      <c r="N8" s="28">
        <f t="shared" si="5"/>
        <v>3.72709522364192E-2</v>
      </c>
    </row>
    <row r="9" spans="2:32" x14ac:dyDescent="0.2">
      <c r="B9" s="25" t="s">
        <v>53</v>
      </c>
      <c r="C9" s="141">
        <v>28261.54098396753</v>
      </c>
      <c r="D9" s="28">
        <f t="shared" si="0"/>
        <v>7.6157774848176929E-2</v>
      </c>
      <c r="E9" s="141">
        <v>1881740.0735218697</v>
      </c>
      <c r="F9" s="28">
        <f t="shared" si="1"/>
        <v>8.4108828849632278E-2</v>
      </c>
      <c r="G9" s="141">
        <v>4747633.9198643249</v>
      </c>
      <c r="H9" s="28">
        <f t="shared" si="2"/>
        <v>6.2412159014559369E-2</v>
      </c>
      <c r="I9" s="141">
        <v>105910.56916473187</v>
      </c>
      <c r="J9" s="28">
        <f t="shared" si="3"/>
        <v>8.5773709681651406E-2</v>
      </c>
      <c r="K9" s="141">
        <v>6729.874516593648</v>
      </c>
      <c r="L9" s="28">
        <f t="shared" si="4"/>
        <v>4.7774047245749594E-2</v>
      </c>
      <c r="M9" s="141">
        <v>112640.44368132653</v>
      </c>
      <c r="N9" s="28">
        <f t="shared" si="5"/>
        <v>8.1882442023937435E-2</v>
      </c>
    </row>
    <row r="10" spans="2:32" x14ac:dyDescent="0.2">
      <c r="B10" s="25" t="s">
        <v>54</v>
      </c>
      <c r="C10" s="141">
        <v>26438.203598279633</v>
      </c>
      <c r="D10" s="28">
        <f t="shared" si="0"/>
        <v>7.1244337248639919E-2</v>
      </c>
      <c r="E10" s="141">
        <v>1938957.1993910058</v>
      </c>
      <c r="F10" s="28">
        <f t="shared" si="1"/>
        <v>8.6666283789722923E-2</v>
      </c>
      <c r="G10" s="141">
        <v>9541673.0643609967</v>
      </c>
      <c r="H10" s="28">
        <f t="shared" si="2"/>
        <v>0.12543435880053169</v>
      </c>
      <c r="I10" s="141">
        <v>111221.80849849974</v>
      </c>
      <c r="J10" s="28">
        <f t="shared" si="3"/>
        <v>9.0075118920192973E-2</v>
      </c>
      <c r="K10" s="141">
        <v>14706.787444540947</v>
      </c>
      <c r="L10" s="28">
        <f t="shared" si="4"/>
        <v>0.10440057336527001</v>
      </c>
      <c r="M10" s="141">
        <v>125928.59594303997</v>
      </c>
      <c r="N10" s="28">
        <f t="shared" si="5"/>
        <v>9.1542083992796106E-2</v>
      </c>
    </row>
    <row r="11" spans="2:32" x14ac:dyDescent="0.2">
      <c r="B11" s="25" t="s">
        <v>55</v>
      </c>
      <c r="C11" s="141">
        <v>14070.181437275694</v>
      </c>
      <c r="D11" s="28">
        <f t="shared" si="0"/>
        <v>3.7915615096180418E-2</v>
      </c>
      <c r="E11" s="141">
        <v>1157859.1881622956</v>
      </c>
      <c r="F11" s="28">
        <f t="shared" si="1"/>
        <v>5.1753258411959345E-2</v>
      </c>
      <c r="G11" s="141">
        <v>8600550.3235442378</v>
      </c>
      <c r="H11" s="28">
        <f t="shared" si="2"/>
        <v>0.11306240613031571</v>
      </c>
      <c r="I11" s="141">
        <v>68992.364668975526</v>
      </c>
      <c r="J11" s="28">
        <f t="shared" si="3"/>
        <v>5.5874792327505779E-2</v>
      </c>
      <c r="K11" s="141">
        <v>14343.310737174161</v>
      </c>
      <c r="L11" s="28">
        <f t="shared" si="4"/>
        <v>0.10182032415740519</v>
      </c>
      <c r="M11" s="141">
        <v>83335.67540614953</v>
      </c>
      <c r="N11" s="28">
        <f t="shared" si="5"/>
        <v>6.057973838663902E-2</v>
      </c>
    </row>
    <row r="12" spans="2:32" x14ac:dyDescent="0.2">
      <c r="B12" s="25" t="s">
        <v>56</v>
      </c>
      <c r="C12" s="141">
        <v>7663.7752409277509</v>
      </c>
      <c r="D12" s="28">
        <f t="shared" si="0"/>
        <v>2.0651954881607853E-2</v>
      </c>
      <c r="E12" s="141">
        <v>700738.03449247126</v>
      </c>
      <c r="F12" s="28">
        <f t="shared" si="1"/>
        <v>3.1321145912169467E-2</v>
      </c>
      <c r="G12" s="141">
        <v>6605701.7493678983</v>
      </c>
      <c r="H12" s="28">
        <f t="shared" si="2"/>
        <v>8.6838226144463154E-2</v>
      </c>
      <c r="I12" s="141">
        <v>43113.616130079412</v>
      </c>
      <c r="J12" s="28">
        <f t="shared" si="3"/>
        <v>3.4916390521098538E-2</v>
      </c>
      <c r="K12" s="141">
        <v>11729.677316120877</v>
      </c>
      <c r="L12" s="28">
        <f t="shared" si="4"/>
        <v>8.3266657780328365E-2</v>
      </c>
      <c r="M12" s="141">
        <v>54843.29344620031</v>
      </c>
      <c r="N12" s="28">
        <f t="shared" si="5"/>
        <v>3.9867587957261842E-2</v>
      </c>
    </row>
    <row r="13" spans="2:32" x14ac:dyDescent="0.2">
      <c r="B13" s="25" t="s">
        <v>57</v>
      </c>
      <c r="C13" s="141">
        <v>15410.054954143079</v>
      </c>
      <c r="D13" s="28">
        <f t="shared" si="0"/>
        <v>4.1526238652783667E-2</v>
      </c>
      <c r="E13" s="141">
        <v>2024904.7265425322</v>
      </c>
      <c r="F13" s="28">
        <f t="shared" si="1"/>
        <v>9.0507912053347642E-2</v>
      </c>
      <c r="G13" s="141">
        <v>27932412.364709869</v>
      </c>
      <c r="H13" s="28">
        <f t="shared" si="2"/>
        <v>0.36719810153693072</v>
      </c>
      <c r="I13" s="141">
        <v>138124.35367883492</v>
      </c>
      <c r="J13" s="28">
        <f t="shared" si="3"/>
        <v>0.11186266211058483</v>
      </c>
      <c r="K13" s="141">
        <v>56674.295762315916</v>
      </c>
      <c r="L13" s="28">
        <f t="shared" si="4"/>
        <v>0.40231960888609686</v>
      </c>
      <c r="M13" s="141">
        <v>194798.64944114955</v>
      </c>
      <c r="N13" s="28">
        <f t="shared" si="5"/>
        <v>0.14160623482922696</v>
      </c>
    </row>
    <row r="14" spans="2:32" x14ac:dyDescent="0.2">
      <c r="B14" s="25" t="s">
        <v>58</v>
      </c>
      <c r="C14" s="141">
        <v>781.06232833443698</v>
      </c>
      <c r="D14" s="28">
        <f t="shared" si="0"/>
        <v>2.1047673577824903E-3</v>
      </c>
      <c r="E14" s="141">
        <v>254957.7430410907</v>
      </c>
      <c r="F14" s="28">
        <f t="shared" si="1"/>
        <v>1.1395940106221263E-2</v>
      </c>
      <c r="G14" s="141">
        <v>5312408.139901367</v>
      </c>
      <c r="H14" s="28">
        <f t="shared" si="2"/>
        <v>6.9836652777819641E-2</v>
      </c>
      <c r="I14" s="141">
        <v>19560.442629618516</v>
      </c>
      <c r="J14" s="28">
        <f t="shared" si="3"/>
        <v>1.5841400349269327E-2</v>
      </c>
      <c r="K14" s="141">
        <v>11829.696953522938</v>
      </c>
      <c r="L14" s="28">
        <f t="shared" si="4"/>
        <v>8.3976677390793161E-2</v>
      </c>
      <c r="M14" s="141">
        <v>31390.139583141445</v>
      </c>
      <c r="N14" s="28">
        <f t="shared" si="5"/>
        <v>2.2818636011516225E-2</v>
      </c>
    </row>
    <row r="15" spans="2:32" x14ac:dyDescent="0.2">
      <c r="B15" s="25" t="s">
        <v>50</v>
      </c>
      <c r="C15" s="141">
        <v>403.56400181457229</v>
      </c>
      <c r="D15" s="28">
        <f t="shared" si="0"/>
        <v>1.087503912276363E-3</v>
      </c>
      <c r="E15" s="141">
        <v>446853.09062049503</v>
      </c>
      <c r="F15" s="28">
        <f t="shared" si="1"/>
        <v>1.9973157105372997E-2</v>
      </c>
      <c r="G15" s="141">
        <v>11822375.007868946</v>
      </c>
      <c r="H15" s="28">
        <f t="shared" si="2"/>
        <v>0.15541635294027795</v>
      </c>
      <c r="I15" s="141">
        <v>31376.95304791239</v>
      </c>
      <c r="J15" s="28">
        <f t="shared" si="3"/>
        <v>2.5411228384963219E-2</v>
      </c>
      <c r="K15" s="141">
        <v>22850.071892566488</v>
      </c>
      <c r="L15" s="28">
        <f t="shared" si="4"/>
        <v>0.16220813797829683</v>
      </c>
      <c r="M15" s="141">
        <v>54227.024940478863</v>
      </c>
      <c r="N15" s="28">
        <f t="shared" si="5"/>
        <v>3.9419599929678459E-2</v>
      </c>
    </row>
    <row r="16" spans="2:32" x14ac:dyDescent="0.2">
      <c r="B16" s="10" t="s">
        <v>0</v>
      </c>
      <c r="C16" s="96">
        <f t="shared" ref="C16:N16" si="6">SUM(C5:C15)</f>
        <v>371092.00000010314</v>
      </c>
      <c r="D16" s="29">
        <f t="shared" si="6"/>
        <v>1</v>
      </c>
      <c r="E16" s="96">
        <f t="shared" si="6"/>
        <v>22372681.908173978</v>
      </c>
      <c r="F16" s="29">
        <f t="shared" si="6"/>
        <v>1</v>
      </c>
      <c r="G16" s="96">
        <f t="shared" si="6"/>
        <v>76069054.409042433</v>
      </c>
      <c r="H16" s="29">
        <f t="shared" si="6"/>
        <v>0.99999999999999978</v>
      </c>
      <c r="I16" s="96">
        <f t="shared" si="6"/>
        <v>1234767.2679404714</v>
      </c>
      <c r="J16" s="29">
        <f t="shared" si="6"/>
        <v>1</v>
      </c>
      <c r="K16" s="96">
        <f t="shared" si="6"/>
        <v>140868.83788545668</v>
      </c>
      <c r="L16" s="29">
        <f t="shared" si="6"/>
        <v>1</v>
      </c>
      <c r="M16" s="96">
        <f t="shared" si="6"/>
        <v>1375636.1058259271</v>
      </c>
      <c r="N16" s="29">
        <f t="shared" si="6"/>
        <v>0.99999999999999989</v>
      </c>
    </row>
    <row r="18" spans="2:14" x14ac:dyDescent="0.2">
      <c r="B18" s="261" t="s">
        <v>447</v>
      </c>
      <c r="C18" s="260"/>
      <c r="D18" s="260"/>
      <c r="E18" s="260"/>
      <c r="F18" s="260"/>
      <c r="G18" s="260"/>
      <c r="H18" s="260"/>
      <c r="I18" s="260"/>
      <c r="J18" s="260"/>
      <c r="K18" s="260"/>
      <c r="L18" s="260"/>
      <c r="M18" s="260"/>
      <c r="N18" s="260"/>
    </row>
  </sheetData>
  <mergeCells count="8">
    <mergeCell ref="B18:N18"/>
    <mergeCell ref="B3:B4"/>
    <mergeCell ref="C3:D3"/>
    <mergeCell ref="E3:F3"/>
    <mergeCell ref="G3:H3"/>
    <mergeCell ref="I3:J3"/>
    <mergeCell ref="K3:L3"/>
    <mergeCell ref="M3:N3"/>
  </mergeCells>
  <pageMargins left="0.78740157480314965" right="0.78740157480314965" top="0.98425196850393704" bottom="0.98425196850393704" header="0.51181102362204722" footer="0.51181102362204722"/>
  <pageSetup paperSize="9" scale="84" orientation="landscape" r:id="rId1"/>
  <headerFooter alignWithMargins="0"/>
  <colBreaks count="1" manualBreakCount="1">
    <brk id="14" max="4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14999847407452621"/>
    <pageSetUpPr fitToPage="1"/>
  </sheetPr>
  <dimension ref="B1:AF20"/>
  <sheetViews>
    <sheetView view="pageBreakPreview" zoomScaleNormal="100" zoomScaleSheetLayoutView="100" zoomScalePageLayoutView="70" workbookViewId="0"/>
  </sheetViews>
  <sheetFormatPr baseColWidth="10" defaultRowHeight="12.75" x14ac:dyDescent="0.2"/>
  <cols>
    <col min="1" max="1" width="2.140625" style="1" customWidth="1"/>
    <col min="2" max="2" width="5.7109375" style="1" customWidth="1"/>
    <col min="3" max="3" width="23.7109375" style="1" customWidth="1"/>
    <col min="4" max="5" width="23" style="76" customWidth="1"/>
    <col min="6" max="6" width="20.85546875" style="1" customWidth="1"/>
    <col min="7" max="7" width="20.85546875" style="76" customWidth="1"/>
    <col min="8" max="16384" width="11.42578125" style="1"/>
  </cols>
  <sheetData>
    <row r="1" spans="2:32" s="11" customFormat="1" ht="15.75" x14ac:dyDescent="0.2">
      <c r="B1" s="213" t="str">
        <f>Inhaltsverzeichnis!B21&amp;" "&amp;Inhaltsverzeichnis!C21&amp;" "&amp;Inhaltsverzeichnis!E21</f>
        <v>Tabelle 2: Entwicklung der Steuerbelastung von Pflichtigen mit Wohnsitz im Kanton Aargau, 2001 – 2013</v>
      </c>
      <c r="C1" s="214"/>
      <c r="D1" s="214"/>
      <c r="E1" s="214"/>
      <c r="F1" s="214"/>
      <c r="G1" s="214"/>
      <c r="H1" s="214"/>
      <c r="I1" s="214"/>
      <c r="J1" s="214"/>
      <c r="K1" s="214"/>
      <c r="L1" s="214"/>
      <c r="M1" s="214"/>
      <c r="N1" s="214"/>
      <c r="O1" s="214"/>
      <c r="P1" s="214"/>
      <c r="Q1" s="214"/>
      <c r="R1" s="214"/>
      <c r="S1" s="214"/>
      <c r="T1" s="74"/>
      <c r="U1" s="74"/>
      <c r="V1" s="74"/>
      <c r="W1" s="74"/>
      <c r="X1" s="74"/>
      <c r="Y1" s="74"/>
      <c r="Z1" s="74"/>
      <c r="AA1" s="74"/>
      <c r="AB1" s="74"/>
      <c r="AC1" s="74"/>
      <c r="AD1" s="74"/>
      <c r="AE1" s="74"/>
      <c r="AF1" s="74"/>
    </row>
    <row r="3" spans="2:32" s="45" customFormat="1" x14ac:dyDescent="0.2">
      <c r="B3" s="238" t="s">
        <v>4</v>
      </c>
      <c r="C3" s="240" t="s">
        <v>562</v>
      </c>
      <c r="D3" s="240" t="s">
        <v>563</v>
      </c>
      <c r="E3" s="242" t="s">
        <v>564</v>
      </c>
      <c r="F3" s="244" t="s">
        <v>34</v>
      </c>
      <c r="G3" s="245"/>
    </row>
    <row r="4" spans="2:32" s="45" customFormat="1" ht="14.25" x14ac:dyDescent="0.2">
      <c r="B4" s="239"/>
      <c r="C4" s="241"/>
      <c r="D4" s="241"/>
      <c r="E4" s="243"/>
      <c r="F4" s="75" t="s">
        <v>35</v>
      </c>
      <c r="G4" s="75" t="s">
        <v>36</v>
      </c>
    </row>
    <row r="5" spans="2:32" x14ac:dyDescent="0.2">
      <c r="B5" s="32">
        <v>2001</v>
      </c>
      <c r="C5" s="33">
        <v>3137.5449595078167</v>
      </c>
      <c r="D5" s="33">
        <v>373.44911006291665</v>
      </c>
      <c r="E5" s="33">
        <v>3510.9940695706914</v>
      </c>
      <c r="F5" s="90">
        <v>5.6330000988713602E-2</v>
      </c>
      <c r="G5" s="94">
        <f>0.00213039649137726*1000</f>
        <v>2.1303964913772604</v>
      </c>
    </row>
    <row r="6" spans="2:32" s="149" customFormat="1" x14ac:dyDescent="0.2">
      <c r="B6" s="151">
        <v>2002</v>
      </c>
      <c r="C6" s="33">
        <v>2940.2176032129742</v>
      </c>
      <c r="D6" s="33">
        <v>359.72438824140238</v>
      </c>
      <c r="E6" s="33">
        <v>3299.9419914544269</v>
      </c>
      <c r="F6" s="90">
        <v>5.2663706761124189E-2</v>
      </c>
      <c r="G6" s="94">
        <f>0.00212627007646136*1000</f>
        <v>2.1262700764613598</v>
      </c>
    </row>
    <row r="7" spans="2:32" x14ac:dyDescent="0.2">
      <c r="B7" s="151">
        <v>2003</v>
      </c>
      <c r="C7" s="33">
        <v>2928.4513937985548</v>
      </c>
      <c r="D7" s="33">
        <v>376.11167713391706</v>
      </c>
      <c r="E7" s="33">
        <v>3304.5630709325023</v>
      </c>
      <c r="F7" s="90">
        <v>5.2573511182298679E-2</v>
      </c>
      <c r="G7" s="94">
        <f>0.00213961143575647*1000</f>
        <v>2.1396114357564699</v>
      </c>
    </row>
    <row r="8" spans="2:32" s="149" customFormat="1" x14ac:dyDescent="0.2">
      <c r="B8" s="151">
        <v>2004</v>
      </c>
      <c r="C8" s="33">
        <v>2957.0869715224176</v>
      </c>
      <c r="D8" s="33">
        <v>373.5977890411836</v>
      </c>
      <c r="E8" s="33">
        <v>3330.6847605635139</v>
      </c>
      <c r="F8" s="90">
        <v>5.2960180666051591E-2</v>
      </c>
      <c r="G8" s="94">
        <f>0.00213649882647589*1000</f>
        <v>2.13649882647589</v>
      </c>
    </row>
    <row r="9" spans="2:32" x14ac:dyDescent="0.2">
      <c r="B9" s="151">
        <v>2005</v>
      </c>
      <c r="C9" s="33">
        <v>3005.4835860204162</v>
      </c>
      <c r="D9" s="33">
        <v>398.04577165836071</v>
      </c>
      <c r="E9" s="33">
        <v>3403.5293576786612</v>
      </c>
      <c r="F9" s="90">
        <v>5.3414524412626681E-2</v>
      </c>
      <c r="G9" s="94">
        <f>0.00215000768803265*1000</f>
        <v>2.15000768803265</v>
      </c>
    </row>
    <row r="10" spans="2:32" s="149" customFormat="1" x14ac:dyDescent="0.2">
      <c r="B10" s="151">
        <v>2006</v>
      </c>
      <c r="C10" s="33">
        <v>3079.0959058228177</v>
      </c>
      <c r="D10" s="33">
        <v>413.87457128947341</v>
      </c>
      <c r="E10" s="33">
        <v>3492.9704771124711</v>
      </c>
      <c r="F10" s="90">
        <v>5.4023153291580549E-2</v>
      </c>
      <c r="G10" s="94">
        <f>0.00215557034423136*1000</f>
        <v>2.1555703442313598</v>
      </c>
    </row>
    <row r="11" spans="2:32" x14ac:dyDescent="0.2">
      <c r="B11" s="151">
        <v>2007</v>
      </c>
      <c r="C11" s="33">
        <v>3177.7990457823103</v>
      </c>
      <c r="D11" s="33">
        <v>414.33546309209851</v>
      </c>
      <c r="E11" s="33">
        <v>3592.1345088743533</v>
      </c>
      <c r="F11" s="90">
        <v>5.5155046035241323E-2</v>
      </c>
      <c r="G11" s="94">
        <f>0.00215471557818785*1000</f>
        <v>2.15471557818785</v>
      </c>
    </row>
    <row r="12" spans="2:32" s="149" customFormat="1" x14ac:dyDescent="0.2">
      <c r="B12" s="151">
        <v>2008</v>
      </c>
      <c r="C12" s="33">
        <v>3291.9474023316761</v>
      </c>
      <c r="D12" s="33">
        <v>363.55912294402088</v>
      </c>
      <c r="E12" s="33">
        <v>3655.5065252757427</v>
      </c>
      <c r="F12" s="90">
        <v>5.5827973635942871E-2</v>
      </c>
      <c r="G12" s="94">
        <f>0.00213413749824456*1000</f>
        <v>2.1341374982445602</v>
      </c>
    </row>
    <row r="13" spans="2:32" x14ac:dyDescent="0.2">
      <c r="B13" s="151">
        <v>2009</v>
      </c>
      <c r="C13" s="33">
        <v>3207.1135030140013</v>
      </c>
      <c r="D13" s="33">
        <v>335.59710817955278</v>
      </c>
      <c r="E13" s="33">
        <v>3542.7106111934336</v>
      </c>
      <c r="F13" s="90">
        <v>5.3920842945966503E-2</v>
      </c>
      <c r="G13" s="94">
        <f>0.00184738950520312*1000</f>
        <v>1.8473895052031202</v>
      </c>
    </row>
    <row r="14" spans="2:32" s="149" customFormat="1" x14ac:dyDescent="0.2">
      <c r="B14" s="151">
        <v>2010</v>
      </c>
      <c r="C14" s="33">
        <v>3257.5325244363976</v>
      </c>
      <c r="D14" s="33">
        <v>337.16927457229218</v>
      </c>
      <c r="E14" s="33">
        <v>3594.7017990086438</v>
      </c>
      <c r="F14" s="90">
        <v>5.4265127140645658E-2</v>
      </c>
      <c r="G14" s="94">
        <f>0.00186440459775916*1000</f>
        <v>1.8644045977591599</v>
      </c>
    </row>
    <row r="15" spans="2:32" x14ac:dyDescent="0.2">
      <c r="B15" s="32">
        <v>2011</v>
      </c>
      <c r="C15" s="35">
        <v>3329.3039642999947</v>
      </c>
      <c r="D15" s="35">
        <v>347.64919093278223</v>
      </c>
      <c r="E15" s="35">
        <v>3676.9531552327558</v>
      </c>
      <c r="F15" s="90">
        <v>5.45692518486195E-2</v>
      </c>
      <c r="G15" s="131">
        <f>0.0018748808536976*1000</f>
        <v>1.8748808536976</v>
      </c>
    </row>
    <row r="16" spans="2:32" s="179" customFormat="1" x14ac:dyDescent="0.2">
      <c r="B16" s="180">
        <v>2012</v>
      </c>
      <c r="C16" s="35">
        <v>3364.8901254627363</v>
      </c>
      <c r="D16" s="35">
        <v>365.23117089148747</v>
      </c>
      <c r="E16" s="35">
        <v>3730.1212963542498</v>
      </c>
      <c r="F16" s="184">
        <v>5.4740860773432702E-2</v>
      </c>
      <c r="G16" s="131">
        <f>0.00185117006597822*1000</f>
        <v>1.85117006597822</v>
      </c>
    </row>
    <row r="17" spans="2:7" s="217" customFormat="1" x14ac:dyDescent="0.2">
      <c r="B17" s="218">
        <v>2013</v>
      </c>
      <c r="C17" s="35">
        <v>3404.395768456588</v>
      </c>
      <c r="D17" s="35">
        <v>380.61034723270302</v>
      </c>
      <c r="E17" s="35">
        <v>3785.0061156893639</v>
      </c>
      <c r="F17" s="184">
        <v>5.5056246906935759E-2</v>
      </c>
      <c r="G17" s="221">
        <f>0.00184860849334777*1000</f>
        <v>1.84860849334777</v>
      </c>
    </row>
    <row r="19" spans="2:7" x14ac:dyDescent="0.2">
      <c r="B19" s="89" t="s">
        <v>37</v>
      </c>
    </row>
    <row r="20" spans="2:7" x14ac:dyDescent="0.2">
      <c r="B20" s="89" t="s">
        <v>622</v>
      </c>
    </row>
  </sheetData>
  <mergeCells count="5">
    <mergeCell ref="B3:B4"/>
    <mergeCell ref="C3:C4"/>
    <mergeCell ref="D3:D4"/>
    <mergeCell ref="E3:E4"/>
    <mergeCell ref="F3:G3"/>
  </mergeCells>
  <phoneticPr fontId="3" type="noConversion"/>
  <pageMargins left="0.78740157480314965" right="0.78740157480314965" top="0.98425196850393704" bottom="0.98425196850393704" header="0.51181102362204722" footer="0.51181102362204722"/>
  <pageSetup paperSize="9" orientation="landscape"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B1:AF21"/>
  <sheetViews>
    <sheetView view="pageBreakPreview" zoomScaleNormal="100" zoomScaleSheetLayoutView="100" zoomScalePageLayoutView="70" workbookViewId="0"/>
  </sheetViews>
  <sheetFormatPr baseColWidth="10" defaultRowHeight="12.75" x14ac:dyDescent="0.2"/>
  <cols>
    <col min="1" max="1" width="2" style="144" customWidth="1"/>
    <col min="2" max="2" width="16.28515625" style="144" customWidth="1"/>
    <col min="3" max="3" width="13.140625" style="144" customWidth="1"/>
    <col min="4" max="4" width="10.42578125" style="144" customWidth="1"/>
    <col min="5" max="5" width="12.140625" style="144" customWidth="1"/>
    <col min="6" max="6" width="10.42578125" style="144" customWidth="1"/>
    <col min="7" max="7" width="13.140625" style="144" customWidth="1"/>
    <col min="8" max="8" width="10.42578125" style="144" customWidth="1"/>
    <col min="9" max="9" width="12" style="144" bestFit="1" customWidth="1"/>
    <col min="10" max="10" width="10.42578125" style="144" customWidth="1"/>
    <col min="11" max="11" width="12.140625" style="144" customWidth="1"/>
    <col min="12" max="12" width="10.42578125" style="144" customWidth="1"/>
    <col min="13" max="13" width="12.140625" style="144" customWidth="1"/>
    <col min="14" max="14" width="10.42578125" style="144" customWidth="1"/>
    <col min="15" max="15" width="11.42578125" style="144"/>
    <col min="16" max="16" width="26.7109375" style="144" bestFit="1" customWidth="1"/>
    <col min="17" max="16384" width="11.42578125" style="144"/>
  </cols>
  <sheetData>
    <row r="1" spans="2:32" s="11" customFormat="1" ht="15.75" x14ac:dyDescent="0.2">
      <c r="B1" s="213" t="str">
        <f>Inhaltsverzeichnis!B57&amp;" "&amp;Inhaltsverzeichnis!C57&amp;" "&amp;Inhaltsverzeichnis!E57</f>
        <v>Tabelle 22b: Verteilung der Pflichtigen und Vermögenssteuer nach Stufen des steuerbaren Vermögens, 2013</v>
      </c>
      <c r="C1" s="214"/>
      <c r="D1" s="214"/>
      <c r="E1" s="214"/>
      <c r="F1" s="214"/>
      <c r="G1" s="214"/>
      <c r="H1" s="214"/>
      <c r="I1" s="214"/>
      <c r="J1" s="214"/>
      <c r="K1" s="214"/>
      <c r="L1" s="214"/>
      <c r="M1" s="214"/>
      <c r="N1" s="214"/>
      <c r="O1" s="214"/>
      <c r="P1" s="214"/>
      <c r="Q1" s="214"/>
      <c r="R1" s="214"/>
      <c r="S1" s="214"/>
      <c r="T1" s="143"/>
      <c r="U1" s="143"/>
      <c r="V1" s="143"/>
      <c r="W1" s="143"/>
      <c r="X1" s="143"/>
      <c r="Y1" s="143"/>
      <c r="Z1" s="143"/>
      <c r="AA1" s="143"/>
      <c r="AB1" s="143"/>
      <c r="AC1" s="143"/>
      <c r="AD1" s="143"/>
      <c r="AE1" s="143"/>
      <c r="AF1" s="143"/>
    </row>
    <row r="3" spans="2:32" s="145" customFormat="1" ht="27" customHeight="1" x14ac:dyDescent="0.2">
      <c r="B3" s="248" t="s">
        <v>119</v>
      </c>
      <c r="C3" s="251" t="s">
        <v>441</v>
      </c>
      <c r="D3" s="247"/>
      <c r="E3" s="246" t="s">
        <v>116</v>
      </c>
      <c r="F3" s="250"/>
      <c r="G3" s="246" t="s">
        <v>118</v>
      </c>
      <c r="H3" s="247"/>
      <c r="I3" s="246" t="s">
        <v>130</v>
      </c>
      <c r="J3" s="247"/>
      <c r="K3" s="246" t="s">
        <v>131</v>
      </c>
      <c r="L3" s="247"/>
      <c r="M3" s="246" t="s">
        <v>132</v>
      </c>
      <c r="N3" s="247"/>
    </row>
    <row r="4" spans="2:32" ht="24.75" customHeight="1" x14ac:dyDescent="0.2">
      <c r="B4" s="249"/>
      <c r="C4" s="146" t="s">
        <v>1</v>
      </c>
      <c r="D4" s="146" t="s">
        <v>2</v>
      </c>
      <c r="E4" s="146" t="s">
        <v>3</v>
      </c>
      <c r="F4" s="146" t="s">
        <v>2</v>
      </c>
      <c r="G4" s="146" t="s">
        <v>3</v>
      </c>
      <c r="H4" s="146" t="s">
        <v>2</v>
      </c>
      <c r="I4" s="146" t="s">
        <v>3</v>
      </c>
      <c r="J4" s="146" t="s">
        <v>2</v>
      </c>
      <c r="K4" s="146" t="s">
        <v>3</v>
      </c>
      <c r="L4" s="146" t="s">
        <v>2</v>
      </c>
      <c r="M4" s="146" t="s">
        <v>3</v>
      </c>
      <c r="N4" s="146" t="s">
        <v>2</v>
      </c>
    </row>
    <row r="5" spans="2:32" x14ac:dyDescent="0.2">
      <c r="B5" s="25">
        <v>0</v>
      </c>
      <c r="C5" s="141">
        <v>239739.00842518688</v>
      </c>
      <c r="D5" s="28">
        <f t="shared" ref="D5:D10" si="0">C5/SUM($C$5:$C$10)</f>
        <v>0.66855447946059587</v>
      </c>
      <c r="E5" s="141">
        <v>11869156.510399189</v>
      </c>
      <c r="F5" s="28">
        <f t="shared" ref="F5:F10" si="1">E5/SUM($E$5:$E$10)</f>
        <v>0.53528431256016185</v>
      </c>
      <c r="G5" s="141">
        <v>0</v>
      </c>
      <c r="H5" s="28">
        <f t="shared" ref="H5:H10" si="2">G5/SUM($G$5:$G$10)</f>
        <v>0</v>
      </c>
      <c r="I5" s="141">
        <v>599268.02755337465</v>
      </c>
      <c r="J5" s="28">
        <f t="shared" ref="J5:J10" si="3">I5/SUM($I$5:$I$10)</f>
        <v>0.49088432445899782</v>
      </c>
      <c r="K5" s="141">
        <v>0</v>
      </c>
      <c r="L5" s="28">
        <f t="shared" ref="L5:L10" si="4">K5/SUM($K$5:$K$10)</f>
        <v>0</v>
      </c>
      <c r="M5" s="141">
        <v>599268.02755337465</v>
      </c>
      <c r="N5" s="28">
        <f t="shared" ref="N5:N10" si="5">M5/SUM($M$5:$M$10)</f>
        <v>0.44152227655926896</v>
      </c>
    </row>
    <row r="6" spans="2:32" x14ac:dyDescent="0.2">
      <c r="B6" s="25" t="s">
        <v>485</v>
      </c>
      <c r="C6" s="141">
        <v>49205.408217445758</v>
      </c>
      <c r="D6" s="28">
        <f t="shared" si="0"/>
        <v>0.13721795336333961</v>
      </c>
      <c r="E6" s="141">
        <v>3351580.4709558925</v>
      </c>
      <c r="F6" s="28">
        <f t="shared" si="1"/>
        <v>0.15115214352543324</v>
      </c>
      <c r="G6" s="141">
        <v>4084386.7575471769</v>
      </c>
      <c r="H6" s="28">
        <f t="shared" si="2"/>
        <v>5.5320909437181841E-2</v>
      </c>
      <c r="I6" s="141">
        <v>187367.76580442319</v>
      </c>
      <c r="J6" s="28">
        <f t="shared" si="3"/>
        <v>0.15348040428221249</v>
      </c>
      <c r="K6" s="141">
        <v>5515.1770465169329</v>
      </c>
      <c r="L6" s="28">
        <f t="shared" si="4"/>
        <v>4.0408894205674631E-2</v>
      </c>
      <c r="M6" s="141">
        <v>192882.94285093652</v>
      </c>
      <c r="N6" s="28">
        <f t="shared" si="5"/>
        <v>0.14211022801381104</v>
      </c>
    </row>
    <row r="7" spans="2:32" x14ac:dyDescent="0.2">
      <c r="B7" s="25" t="s">
        <v>486</v>
      </c>
      <c r="C7" s="141">
        <v>32351.111816862609</v>
      </c>
      <c r="D7" s="28">
        <f t="shared" si="0"/>
        <v>9.0216777247760713E-2</v>
      </c>
      <c r="E7" s="141">
        <v>2443932.9107816806</v>
      </c>
      <c r="F7" s="28">
        <f t="shared" si="1"/>
        <v>0.11021835856193705</v>
      </c>
      <c r="G7" s="141">
        <v>10689563.249550613</v>
      </c>
      <c r="H7" s="28">
        <f t="shared" si="2"/>
        <v>0.14478461408158805</v>
      </c>
      <c r="I7" s="141">
        <v>139346.98663766423</v>
      </c>
      <c r="J7" s="28">
        <f t="shared" si="3"/>
        <v>0.11414467025764088</v>
      </c>
      <c r="K7" s="141">
        <v>16139.620284916207</v>
      </c>
      <c r="L7" s="28">
        <f t="shared" si="4"/>
        <v>0.11825263325405322</v>
      </c>
      <c r="M7" s="141">
        <v>155486.60692257903</v>
      </c>
      <c r="N7" s="28">
        <f t="shared" si="5"/>
        <v>0.1145577563068285</v>
      </c>
    </row>
    <row r="8" spans="2:32" x14ac:dyDescent="0.2">
      <c r="B8" s="25" t="s">
        <v>487</v>
      </c>
      <c r="C8" s="141">
        <v>21085.646097824781</v>
      </c>
      <c r="D8" s="28">
        <f t="shared" si="0"/>
        <v>5.8801040529958985E-2</v>
      </c>
      <c r="E8" s="141">
        <v>1831933.6611625324</v>
      </c>
      <c r="F8" s="28">
        <f t="shared" si="1"/>
        <v>8.2617947586422602E-2</v>
      </c>
      <c r="G8" s="141">
        <v>14762597.066929959</v>
      </c>
      <c r="H8" s="28">
        <f t="shared" si="2"/>
        <v>0.19995175380690069</v>
      </c>
      <c r="I8" s="141">
        <v>110115.15397429788</v>
      </c>
      <c r="J8" s="28">
        <f t="shared" si="3"/>
        <v>9.0199711124347215E-2</v>
      </c>
      <c r="K8" s="141">
        <v>25178.113541813003</v>
      </c>
      <c r="L8" s="28">
        <f t="shared" si="4"/>
        <v>0.18447634914134425</v>
      </c>
      <c r="M8" s="141">
        <v>135293.26751611149</v>
      </c>
      <c r="N8" s="28">
        <f t="shared" si="5"/>
        <v>9.9679924057913066E-2</v>
      </c>
    </row>
    <row r="9" spans="2:32" x14ac:dyDescent="0.2">
      <c r="B9" s="25" t="s">
        <v>587</v>
      </c>
      <c r="C9" s="141">
        <v>10776.820885775349</v>
      </c>
      <c r="D9" s="28">
        <f t="shared" si="0"/>
        <v>3.0053064475646148E-2</v>
      </c>
      <c r="E9" s="141">
        <v>1215064.3776216614</v>
      </c>
      <c r="F9" s="28">
        <f t="shared" si="1"/>
        <v>5.4797904090463229E-2</v>
      </c>
      <c r="G9" s="141">
        <v>14797431.944961982</v>
      </c>
      <c r="H9" s="28">
        <f t="shared" si="2"/>
        <v>0.20042357424097296</v>
      </c>
      <c r="I9" s="141">
        <v>79289.565114032492</v>
      </c>
      <c r="J9" s="28">
        <f t="shared" si="3"/>
        <v>6.4949242772980934E-2</v>
      </c>
      <c r="K9" s="141">
        <v>28660.460171342937</v>
      </c>
      <c r="L9" s="28">
        <f t="shared" si="4"/>
        <v>0.20999099270641927</v>
      </c>
      <c r="M9" s="141">
        <v>107950.02528537544</v>
      </c>
      <c r="N9" s="28">
        <f t="shared" si="5"/>
        <v>7.9534263012862802E-2</v>
      </c>
    </row>
    <row r="10" spans="2:32" x14ac:dyDescent="0.2">
      <c r="B10" s="26" t="s">
        <v>588</v>
      </c>
      <c r="C10" s="141">
        <v>5435.0822947330789</v>
      </c>
      <c r="D10" s="28">
        <f t="shared" si="0"/>
        <v>1.5156684922698734E-2</v>
      </c>
      <c r="E10" s="141">
        <v>1461887.7513505744</v>
      </c>
      <c r="F10" s="28">
        <f t="shared" si="1"/>
        <v>6.5929333675581875E-2</v>
      </c>
      <c r="G10" s="141">
        <v>29496816.589768142</v>
      </c>
      <c r="H10" s="28">
        <f t="shared" si="2"/>
        <v>0.39951914843335651</v>
      </c>
      <c r="I10" s="141">
        <v>105405.25736412659</v>
      </c>
      <c r="J10" s="28">
        <f t="shared" si="3"/>
        <v>8.6341647103820557E-2</v>
      </c>
      <c r="K10" s="141">
        <v>60990.86478838342</v>
      </c>
      <c r="L10" s="28">
        <f t="shared" si="4"/>
        <v>0.44687113069250856</v>
      </c>
      <c r="M10" s="141">
        <v>166396.12215251019</v>
      </c>
      <c r="N10" s="28">
        <f t="shared" si="5"/>
        <v>0.12259555204931571</v>
      </c>
    </row>
    <row r="11" spans="2:32" x14ac:dyDescent="0.2">
      <c r="B11" s="10" t="s">
        <v>0</v>
      </c>
      <c r="C11" s="96">
        <f t="shared" ref="C11:N11" si="6">SUM(C5:C10)</f>
        <v>358593.07773782843</v>
      </c>
      <c r="D11" s="29">
        <f t="shared" si="6"/>
        <v>1</v>
      </c>
      <c r="E11" s="96">
        <f t="shared" si="6"/>
        <v>22173555.682271533</v>
      </c>
      <c r="F11" s="29">
        <f t="shared" si="6"/>
        <v>0.99999999999999989</v>
      </c>
      <c r="G11" s="96">
        <f t="shared" si="6"/>
        <v>73830795.608757868</v>
      </c>
      <c r="H11" s="29">
        <f t="shared" si="6"/>
        <v>1</v>
      </c>
      <c r="I11" s="96">
        <f t="shared" si="6"/>
        <v>1220792.7564479192</v>
      </c>
      <c r="J11" s="29">
        <f t="shared" si="6"/>
        <v>0.99999999999999989</v>
      </c>
      <c r="K11" s="96">
        <f t="shared" si="6"/>
        <v>136484.23583297251</v>
      </c>
      <c r="L11" s="29">
        <f t="shared" si="6"/>
        <v>1</v>
      </c>
      <c r="M11" s="96">
        <f t="shared" si="6"/>
        <v>1357276.9922808872</v>
      </c>
      <c r="N11" s="29">
        <f t="shared" si="6"/>
        <v>1</v>
      </c>
    </row>
    <row r="13" spans="2:32" x14ac:dyDescent="0.2">
      <c r="B13" s="261" t="s">
        <v>33</v>
      </c>
      <c r="C13" s="260"/>
      <c r="D13" s="260"/>
      <c r="E13" s="260"/>
      <c r="F13" s="260"/>
      <c r="G13" s="260"/>
      <c r="H13" s="260"/>
      <c r="I13" s="260"/>
      <c r="J13" s="260"/>
      <c r="K13" s="260"/>
      <c r="L13" s="260"/>
      <c r="M13" s="260"/>
      <c r="N13" s="260"/>
    </row>
    <row r="17" spans="16:23" x14ac:dyDescent="0.2">
      <c r="P17" s="154" t="s">
        <v>492</v>
      </c>
      <c r="Q17" s="154" t="s">
        <v>496</v>
      </c>
      <c r="R17" s="154" t="s">
        <v>503</v>
      </c>
      <c r="S17" s="154" t="s">
        <v>504</v>
      </c>
      <c r="T17" s="154" t="s">
        <v>505</v>
      </c>
      <c r="U17" s="154" t="s">
        <v>506</v>
      </c>
      <c r="V17" s="154" t="s">
        <v>507</v>
      </c>
      <c r="W17" s="154" t="s">
        <v>0</v>
      </c>
    </row>
    <row r="18" spans="16:23" x14ac:dyDescent="0.2">
      <c r="P18" s="154" t="s">
        <v>10</v>
      </c>
      <c r="Q18" s="158">
        <f>C5</f>
        <v>239739.00842518688</v>
      </c>
      <c r="R18" s="158">
        <f>C6</f>
        <v>49205.408217445758</v>
      </c>
      <c r="S18" s="158">
        <f>C7</f>
        <v>32351.111816862609</v>
      </c>
      <c r="T18" s="158">
        <f>C8</f>
        <v>21085.646097824781</v>
      </c>
      <c r="U18" s="158">
        <f>C9</f>
        <v>10776.820885775349</v>
      </c>
      <c r="V18" s="158">
        <f>C10</f>
        <v>5435.0822947330789</v>
      </c>
      <c r="W18" s="155">
        <f>C11</f>
        <v>358593.07773782843</v>
      </c>
    </row>
    <row r="19" spans="16:23" x14ac:dyDescent="0.2">
      <c r="P19" s="154" t="s">
        <v>488</v>
      </c>
      <c r="Q19" s="158">
        <f>K5</f>
        <v>0</v>
      </c>
      <c r="R19" s="158">
        <f>K6</f>
        <v>5515.1770465169329</v>
      </c>
      <c r="S19" s="158">
        <f>K7</f>
        <v>16139.620284916207</v>
      </c>
      <c r="T19" s="158">
        <f>K8</f>
        <v>25178.113541813003</v>
      </c>
      <c r="U19" s="158">
        <f>K9</f>
        <v>28660.460171342937</v>
      </c>
      <c r="V19" s="158">
        <f>K10</f>
        <v>60990.86478838342</v>
      </c>
      <c r="W19" s="155">
        <f>K11</f>
        <v>136484.23583297251</v>
      </c>
    </row>
    <row r="20" spans="16:23" x14ac:dyDescent="0.2">
      <c r="P20" s="154" t="s">
        <v>10</v>
      </c>
      <c r="Q20" s="157">
        <f>Q18/$W$18</f>
        <v>0.66855447946059587</v>
      </c>
      <c r="R20" s="157">
        <f t="shared" ref="R20:V20" si="7">R18/$W$18</f>
        <v>0.13721795336333961</v>
      </c>
      <c r="S20" s="157">
        <f t="shared" si="7"/>
        <v>9.0216777247760713E-2</v>
      </c>
      <c r="T20" s="157">
        <f t="shared" si="7"/>
        <v>5.8801040529958985E-2</v>
      </c>
      <c r="U20" s="157">
        <f t="shared" si="7"/>
        <v>3.0053064475646148E-2</v>
      </c>
      <c r="V20" s="157">
        <f t="shared" si="7"/>
        <v>1.5156684922698734E-2</v>
      </c>
      <c r="W20" s="157">
        <v>0.99999999999999989</v>
      </c>
    </row>
    <row r="21" spans="16:23" x14ac:dyDescent="0.2">
      <c r="P21" s="154" t="s">
        <v>491</v>
      </c>
      <c r="Q21" s="157">
        <f>Q19/$W$19</f>
        <v>0</v>
      </c>
      <c r="R21" s="157">
        <f t="shared" ref="R21:V21" si="8">R19/$W$19</f>
        <v>4.0408894205674631E-2</v>
      </c>
      <c r="S21" s="157">
        <f t="shared" si="8"/>
        <v>0.11825263325405322</v>
      </c>
      <c r="T21" s="157">
        <f t="shared" si="8"/>
        <v>0.18447634914134425</v>
      </c>
      <c r="U21" s="157">
        <f t="shared" si="8"/>
        <v>0.20999099270641927</v>
      </c>
      <c r="V21" s="157">
        <f t="shared" si="8"/>
        <v>0.44687113069250856</v>
      </c>
      <c r="W21" s="157">
        <v>1</v>
      </c>
    </row>
  </sheetData>
  <mergeCells count="8">
    <mergeCell ref="B13:N13"/>
    <mergeCell ref="B3:B4"/>
    <mergeCell ref="C3:D3"/>
    <mergeCell ref="E3:F3"/>
    <mergeCell ref="G3:H3"/>
    <mergeCell ref="I3:J3"/>
    <mergeCell ref="K3:L3"/>
    <mergeCell ref="M3:N3"/>
  </mergeCells>
  <pageMargins left="0.78740157480314965" right="0.78740157480314965" top="0.98425196850393704" bottom="0.98425196850393704" header="0.51181102362204722" footer="0.51181102362204722"/>
  <pageSetup paperSize="9" scale="74" orientation="landscape" r:id="rId1"/>
  <headerFooter alignWithMargins="0"/>
  <colBreaks count="1" manualBreakCount="1">
    <brk id="14" max="42" man="1"/>
  </colBreaks>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B1:AD16"/>
  <sheetViews>
    <sheetView view="pageBreakPreview" zoomScaleNormal="100" zoomScaleSheetLayoutView="100" workbookViewId="0"/>
  </sheetViews>
  <sheetFormatPr baseColWidth="10" defaultRowHeight="12.75" x14ac:dyDescent="0.2"/>
  <cols>
    <col min="1" max="1" width="2" style="1" customWidth="1"/>
    <col min="2" max="2" width="18.28515625" style="1" customWidth="1"/>
    <col min="3" max="4" width="12.7109375" style="1" customWidth="1"/>
    <col min="5" max="11" width="12.140625" style="81" customWidth="1"/>
    <col min="12" max="12" width="11.42578125" style="1"/>
    <col min="13" max="13" width="4.42578125" style="1" customWidth="1"/>
    <col min="14" max="16384" width="11.42578125" style="1"/>
  </cols>
  <sheetData>
    <row r="1" spans="2:30" s="11" customFormat="1" ht="15.75" x14ac:dyDescent="0.2">
      <c r="B1" s="215" t="str">
        <f>Inhaltsverzeichnis!B58&amp;" "&amp;Inhaltsverzeichnis!C58&amp;" "&amp;Inhaltsverzeichnis!E58</f>
        <v>Tabelle 23: Verteilung der Pflichtigen nach Einkommens– und Vermögenssteuerstufen, 2013</v>
      </c>
      <c r="C1" s="216"/>
      <c r="D1" s="216"/>
      <c r="E1" s="216"/>
      <c r="F1" s="216"/>
      <c r="G1" s="216"/>
      <c r="H1" s="216"/>
      <c r="I1" s="216"/>
      <c r="J1" s="216"/>
      <c r="K1" s="216"/>
      <c r="L1" s="216"/>
      <c r="M1" s="216"/>
      <c r="N1" s="216"/>
      <c r="O1" s="216"/>
      <c r="P1" s="216"/>
      <c r="Q1" s="216"/>
      <c r="R1" s="216"/>
      <c r="S1" s="216"/>
      <c r="T1" s="98"/>
      <c r="U1" s="98"/>
      <c r="V1" s="98"/>
      <c r="W1" s="98"/>
      <c r="X1" s="98"/>
      <c r="Y1" s="98"/>
      <c r="Z1" s="98"/>
      <c r="AA1" s="98"/>
      <c r="AB1" s="98"/>
      <c r="AC1" s="98"/>
      <c r="AD1" s="98"/>
    </row>
    <row r="3" spans="2:30" s="45" customFormat="1" ht="14.25" x14ac:dyDescent="0.2">
      <c r="B3" s="252" t="s">
        <v>575</v>
      </c>
      <c r="C3" s="244" t="s">
        <v>576</v>
      </c>
      <c r="D3" s="254"/>
      <c r="E3" s="245"/>
      <c r="F3" s="245"/>
      <c r="G3" s="245"/>
      <c r="H3" s="245"/>
      <c r="I3" s="245"/>
      <c r="J3" s="245"/>
      <c r="K3" s="245"/>
      <c r="L3" s="255"/>
    </row>
    <row r="4" spans="2:30" s="45" customFormat="1" ht="27.75" customHeight="1" x14ac:dyDescent="0.2">
      <c r="B4" s="253"/>
      <c r="C4" s="102" t="s">
        <v>11</v>
      </c>
      <c r="D4" s="102" t="s">
        <v>126</v>
      </c>
      <c r="E4" s="99" t="s">
        <v>127</v>
      </c>
      <c r="F4" s="99" t="s">
        <v>16</v>
      </c>
      <c r="G4" s="99" t="s">
        <v>17</v>
      </c>
      <c r="H4" s="99" t="s">
        <v>18</v>
      </c>
      <c r="I4" s="99" t="s">
        <v>19</v>
      </c>
      <c r="J4" s="99" t="s">
        <v>20</v>
      </c>
      <c r="K4" s="99" t="s">
        <v>128</v>
      </c>
      <c r="L4" s="103" t="s">
        <v>0</v>
      </c>
    </row>
    <row r="5" spans="2:30" x14ac:dyDescent="0.2">
      <c r="B5" s="117">
        <v>0</v>
      </c>
      <c r="C5" s="33">
        <v>44451</v>
      </c>
      <c r="D5" s="33">
        <v>4836</v>
      </c>
      <c r="E5" s="33">
        <v>1298</v>
      </c>
      <c r="F5" s="33">
        <v>1051</v>
      </c>
      <c r="G5" s="33">
        <v>773</v>
      </c>
      <c r="H5" s="33">
        <v>216</v>
      </c>
      <c r="I5" s="33">
        <v>72</v>
      </c>
      <c r="J5" s="33">
        <v>27</v>
      </c>
      <c r="K5" s="33">
        <v>19</v>
      </c>
      <c r="L5" s="135">
        <f t="shared" ref="L5:L13" si="0">SUM(C5:K5)</f>
        <v>52743</v>
      </c>
    </row>
    <row r="6" spans="2:30" x14ac:dyDescent="0.2">
      <c r="B6" s="116" t="s">
        <v>120</v>
      </c>
      <c r="C6" s="33">
        <v>20840</v>
      </c>
      <c r="D6" s="33">
        <v>3840</v>
      </c>
      <c r="E6" s="33">
        <v>1280</v>
      </c>
      <c r="F6" s="33">
        <v>1022</v>
      </c>
      <c r="G6" s="33">
        <v>569</v>
      </c>
      <c r="H6" s="33">
        <v>132</v>
      </c>
      <c r="I6" s="33">
        <v>35</v>
      </c>
      <c r="J6" s="33">
        <v>16</v>
      </c>
      <c r="K6" s="33">
        <v>4</v>
      </c>
      <c r="L6" s="135">
        <f t="shared" si="0"/>
        <v>27738</v>
      </c>
    </row>
    <row r="7" spans="2:30" x14ac:dyDescent="0.2">
      <c r="B7" s="105" t="s">
        <v>121</v>
      </c>
      <c r="C7" s="33">
        <v>18437</v>
      </c>
      <c r="D7" s="33">
        <v>3576</v>
      </c>
      <c r="E7" s="33">
        <v>1774</v>
      </c>
      <c r="F7" s="33">
        <v>1534</v>
      </c>
      <c r="G7" s="33">
        <v>846</v>
      </c>
      <c r="H7" s="33">
        <v>157</v>
      </c>
      <c r="I7" s="33">
        <v>37</v>
      </c>
      <c r="J7" s="33">
        <v>4</v>
      </c>
      <c r="K7" s="33">
        <v>2</v>
      </c>
      <c r="L7" s="135">
        <f t="shared" si="0"/>
        <v>26367</v>
      </c>
    </row>
    <row r="8" spans="2:30" x14ac:dyDescent="0.2">
      <c r="B8" s="105" t="s">
        <v>122</v>
      </c>
      <c r="C8" s="33">
        <v>60215</v>
      </c>
      <c r="D8" s="33">
        <v>10283</v>
      </c>
      <c r="E8" s="33">
        <v>5136</v>
      </c>
      <c r="F8" s="33">
        <v>5781</v>
      </c>
      <c r="G8" s="33">
        <v>4386</v>
      </c>
      <c r="H8" s="33">
        <v>887</v>
      </c>
      <c r="I8" s="33">
        <v>151</v>
      </c>
      <c r="J8" s="33">
        <v>27</v>
      </c>
      <c r="K8" s="33">
        <v>2</v>
      </c>
      <c r="L8" s="135">
        <f t="shared" si="0"/>
        <v>86868</v>
      </c>
    </row>
    <row r="9" spans="2:30" x14ac:dyDescent="0.2">
      <c r="B9" s="105" t="s">
        <v>58</v>
      </c>
      <c r="C9" s="33">
        <v>64945</v>
      </c>
      <c r="D9" s="33">
        <v>14216</v>
      </c>
      <c r="E9" s="33">
        <v>6243</v>
      </c>
      <c r="F9" s="33">
        <v>6618</v>
      </c>
      <c r="G9" s="33">
        <v>6167</v>
      </c>
      <c r="H9" s="33">
        <v>1849</v>
      </c>
      <c r="I9" s="33">
        <v>401</v>
      </c>
      <c r="J9" s="33">
        <v>61</v>
      </c>
      <c r="K9" s="33">
        <v>12</v>
      </c>
      <c r="L9" s="135">
        <f t="shared" si="0"/>
        <v>100512</v>
      </c>
    </row>
    <row r="10" spans="2:30" x14ac:dyDescent="0.2">
      <c r="B10" s="105" t="s">
        <v>123</v>
      </c>
      <c r="C10" s="33">
        <v>28234</v>
      </c>
      <c r="D10" s="33">
        <v>9712</v>
      </c>
      <c r="E10" s="33">
        <v>4597</v>
      </c>
      <c r="F10" s="33">
        <v>4986</v>
      </c>
      <c r="G10" s="33">
        <v>5282</v>
      </c>
      <c r="H10" s="33">
        <v>2432</v>
      </c>
      <c r="I10" s="33">
        <v>885</v>
      </c>
      <c r="J10" s="33">
        <v>166</v>
      </c>
      <c r="K10" s="33">
        <v>13</v>
      </c>
      <c r="L10" s="135">
        <f t="shared" si="0"/>
        <v>56307</v>
      </c>
    </row>
    <row r="11" spans="2:30" x14ac:dyDescent="0.2">
      <c r="B11" s="105" t="s">
        <v>124</v>
      </c>
      <c r="C11" s="33">
        <v>5922</v>
      </c>
      <c r="D11" s="33">
        <v>2519</v>
      </c>
      <c r="E11" s="33">
        <v>1491</v>
      </c>
      <c r="F11" s="33">
        <v>1968</v>
      </c>
      <c r="G11" s="33">
        <v>2583</v>
      </c>
      <c r="H11" s="33">
        <v>1527</v>
      </c>
      <c r="I11" s="33">
        <v>1075</v>
      </c>
      <c r="J11" s="33">
        <v>490</v>
      </c>
      <c r="K11" s="33">
        <v>58</v>
      </c>
      <c r="L11" s="135">
        <f t="shared" si="0"/>
        <v>17633</v>
      </c>
    </row>
    <row r="12" spans="2:30" x14ac:dyDescent="0.2">
      <c r="B12" s="105" t="s">
        <v>125</v>
      </c>
      <c r="C12" s="33">
        <v>417</v>
      </c>
      <c r="D12" s="33">
        <v>149</v>
      </c>
      <c r="E12" s="33">
        <v>123</v>
      </c>
      <c r="F12" s="33">
        <v>226</v>
      </c>
      <c r="G12" s="33">
        <v>364</v>
      </c>
      <c r="H12" s="33">
        <v>354</v>
      </c>
      <c r="I12" s="33">
        <v>303</v>
      </c>
      <c r="J12" s="33">
        <v>221</v>
      </c>
      <c r="K12" s="33">
        <v>98</v>
      </c>
      <c r="L12" s="135">
        <f t="shared" si="0"/>
        <v>2255</v>
      </c>
    </row>
    <row r="13" spans="2:30" s="81" customFormat="1" x14ac:dyDescent="0.2">
      <c r="B13" s="118" t="s">
        <v>495</v>
      </c>
      <c r="C13" s="33">
        <v>44</v>
      </c>
      <c r="D13" s="33">
        <v>24</v>
      </c>
      <c r="E13" s="33">
        <v>23</v>
      </c>
      <c r="F13" s="33">
        <v>30</v>
      </c>
      <c r="G13" s="33">
        <v>75</v>
      </c>
      <c r="H13" s="33">
        <v>89</v>
      </c>
      <c r="I13" s="33">
        <v>82</v>
      </c>
      <c r="J13" s="33">
        <v>140</v>
      </c>
      <c r="K13" s="33">
        <v>162</v>
      </c>
      <c r="L13" s="135">
        <f t="shared" si="0"/>
        <v>669</v>
      </c>
    </row>
    <row r="14" spans="2:30" x14ac:dyDescent="0.2">
      <c r="B14" s="61" t="s">
        <v>0</v>
      </c>
      <c r="C14" s="135">
        <f>SUM(C5:C13)</f>
        <v>243505</v>
      </c>
      <c r="D14" s="135">
        <f t="shared" ref="D14:K14" si="1">SUM(D5:D13)</f>
        <v>49155</v>
      </c>
      <c r="E14" s="135">
        <f t="shared" si="1"/>
        <v>21965</v>
      </c>
      <c r="F14" s="135">
        <f t="shared" si="1"/>
        <v>23216</v>
      </c>
      <c r="G14" s="135">
        <f t="shared" si="1"/>
        <v>21045</v>
      </c>
      <c r="H14" s="135">
        <f t="shared" si="1"/>
        <v>7643</v>
      </c>
      <c r="I14" s="135">
        <f t="shared" si="1"/>
        <v>3041</v>
      </c>
      <c r="J14" s="135">
        <f t="shared" si="1"/>
        <v>1152</v>
      </c>
      <c r="K14" s="135">
        <f t="shared" si="1"/>
        <v>370</v>
      </c>
      <c r="L14" s="31">
        <f>SUM(L5:L13)</f>
        <v>371092</v>
      </c>
    </row>
    <row r="16" spans="2:30" ht="24" customHeight="1" x14ac:dyDescent="0.2">
      <c r="B16" s="301" t="s">
        <v>661</v>
      </c>
      <c r="C16" s="302"/>
      <c r="D16" s="302"/>
      <c r="E16" s="302"/>
      <c r="F16" s="302"/>
      <c r="G16" s="302"/>
      <c r="H16" s="302"/>
      <c r="I16" s="302"/>
      <c r="J16" s="302"/>
      <c r="K16" s="302"/>
      <c r="L16" s="302"/>
      <c r="M16" s="130"/>
      <c r="N16" s="130"/>
    </row>
  </sheetData>
  <mergeCells count="3">
    <mergeCell ref="B3:B4"/>
    <mergeCell ref="C3:L3"/>
    <mergeCell ref="B16:L16"/>
  </mergeCells>
  <phoneticPr fontId="3" type="noConversion"/>
  <pageMargins left="0.78740157480314965" right="0.78740157480314965" top="0.98425196850393704" bottom="0.98425196850393704" header="0.51181102362204722" footer="0.51181102362204722"/>
  <pageSetup paperSize="9" scale="92"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B1:AF48"/>
  <sheetViews>
    <sheetView view="pageBreakPreview" zoomScaleNormal="100" zoomScaleSheetLayoutView="100" zoomScalePageLayoutView="70" workbookViewId="0"/>
  </sheetViews>
  <sheetFormatPr baseColWidth="10" defaultRowHeight="12.75" x14ac:dyDescent="0.2"/>
  <cols>
    <col min="1" max="1" width="2" style="81" customWidth="1"/>
    <col min="2" max="2" width="21.28515625" style="81" customWidth="1"/>
    <col min="3" max="3" width="13.140625" style="81" customWidth="1"/>
    <col min="4" max="4" width="10.42578125" style="81" customWidth="1"/>
    <col min="5" max="5" width="12.140625" style="81" customWidth="1"/>
    <col min="6" max="6" width="10.42578125" style="81" customWidth="1"/>
    <col min="7" max="7" width="13.140625" style="81" customWidth="1"/>
    <col min="8" max="8" width="10.42578125" style="81" customWidth="1"/>
    <col min="9" max="9" width="12" style="81" bestFit="1" customWidth="1"/>
    <col min="10" max="10" width="10.42578125" style="81" customWidth="1"/>
    <col min="11" max="11" width="12.140625" style="81" customWidth="1"/>
    <col min="12" max="12" width="10.42578125" style="81" customWidth="1"/>
    <col min="13" max="13" width="12.140625" style="81" customWidth="1"/>
    <col min="14" max="14" width="10.42578125" style="81" customWidth="1"/>
    <col min="15" max="16384" width="11.42578125" style="81"/>
  </cols>
  <sheetData>
    <row r="1" spans="2:32" s="11" customFormat="1" ht="15.75" x14ac:dyDescent="0.2">
      <c r="B1" s="213" t="str">
        <f>Inhaltsverzeichnis!B59&amp;" "&amp;Inhaltsverzeichnis!C59&amp;" "&amp;Inhaltsverzeichnis!E59</f>
        <v>Tabelle 24: Verteilung der Pflichtigen, Einkommen, Vermögen und Steuern nach verschiedenen Merkmalen, 2013</v>
      </c>
      <c r="C1" s="214"/>
      <c r="D1" s="214"/>
      <c r="E1" s="214"/>
      <c r="F1" s="214"/>
      <c r="G1" s="214"/>
      <c r="H1" s="214"/>
      <c r="I1" s="214"/>
      <c r="J1" s="214"/>
      <c r="K1" s="214"/>
      <c r="L1" s="214"/>
      <c r="M1" s="214"/>
      <c r="N1" s="214"/>
      <c r="O1" s="214"/>
      <c r="P1" s="214"/>
      <c r="Q1" s="214"/>
      <c r="R1" s="214"/>
      <c r="S1" s="214"/>
      <c r="T1" s="78"/>
      <c r="U1" s="78"/>
      <c r="V1" s="78"/>
      <c r="W1" s="78"/>
      <c r="X1" s="78"/>
      <c r="Y1" s="78"/>
      <c r="Z1" s="78"/>
      <c r="AA1" s="78"/>
      <c r="AB1" s="78"/>
      <c r="AC1" s="78"/>
      <c r="AD1" s="78"/>
      <c r="AE1" s="78"/>
      <c r="AF1" s="78"/>
    </row>
    <row r="3" spans="2:32" s="45" customFormat="1" ht="27" customHeight="1" x14ac:dyDescent="0.2">
      <c r="B3" s="248" t="s">
        <v>574</v>
      </c>
      <c r="C3" s="251" t="s">
        <v>441</v>
      </c>
      <c r="D3" s="247"/>
      <c r="E3" s="246" t="s">
        <v>116</v>
      </c>
      <c r="F3" s="250"/>
      <c r="G3" s="246" t="s">
        <v>118</v>
      </c>
      <c r="H3" s="247"/>
      <c r="I3" s="246" t="s">
        <v>130</v>
      </c>
      <c r="J3" s="247"/>
      <c r="K3" s="246" t="s">
        <v>131</v>
      </c>
      <c r="L3" s="247"/>
      <c r="M3" s="246" t="s">
        <v>132</v>
      </c>
      <c r="N3" s="247"/>
    </row>
    <row r="4" spans="2:32" ht="15" customHeight="1" x14ac:dyDescent="0.2">
      <c r="B4" s="249"/>
      <c r="C4" s="47" t="s">
        <v>1</v>
      </c>
      <c r="D4" s="47" t="s">
        <v>2</v>
      </c>
      <c r="E4" s="47" t="s">
        <v>129</v>
      </c>
      <c r="F4" s="47" t="s">
        <v>2</v>
      </c>
      <c r="G4" s="47" t="s">
        <v>129</v>
      </c>
      <c r="H4" s="47" t="s">
        <v>2</v>
      </c>
      <c r="I4" s="47" t="s">
        <v>129</v>
      </c>
      <c r="J4" s="47" t="s">
        <v>2</v>
      </c>
      <c r="K4" s="47" t="s">
        <v>129</v>
      </c>
      <c r="L4" s="47" t="s">
        <v>2</v>
      </c>
      <c r="M4" s="47" t="s">
        <v>129</v>
      </c>
      <c r="N4" s="47" t="s">
        <v>2</v>
      </c>
    </row>
    <row r="5" spans="2:32" x14ac:dyDescent="0.2">
      <c r="B5" s="262" t="s">
        <v>136</v>
      </c>
      <c r="C5" s="263"/>
      <c r="D5" s="263"/>
      <c r="E5" s="263"/>
      <c r="F5" s="263"/>
      <c r="G5" s="263"/>
      <c r="H5" s="263"/>
      <c r="I5" s="263"/>
      <c r="J5" s="263"/>
      <c r="K5" s="263"/>
      <c r="L5" s="263"/>
      <c r="M5" s="263"/>
      <c r="N5" s="264"/>
    </row>
    <row r="6" spans="2:32" x14ac:dyDescent="0.2">
      <c r="B6" s="26" t="s">
        <v>133</v>
      </c>
      <c r="C6" s="27">
        <v>137861.60351680903</v>
      </c>
      <c r="D6" s="28">
        <f>C6/SUM($C$6:$C$10)</f>
        <v>0.38445137978287347</v>
      </c>
      <c r="E6" s="27">
        <v>5203.566577289158</v>
      </c>
      <c r="F6" s="28">
        <f>E6/SUM($E$6:$E$10)</f>
        <v>0.23467443164513777</v>
      </c>
      <c r="G6" s="27">
        <v>9322.583749528625</v>
      </c>
      <c r="H6" s="28">
        <f>G6/SUM($G$6:$G$10)</f>
        <v>0.12626958266751684</v>
      </c>
      <c r="I6" s="27">
        <v>291.29720404456498</v>
      </c>
      <c r="J6" s="28">
        <f>I6/SUM($I$6:$I$10)</f>
        <v>0.2386131491246184</v>
      </c>
      <c r="K6" s="27">
        <v>16.447624460182148</v>
      </c>
      <c r="L6" s="28">
        <f>K6/SUM($K$6:$K$10)</f>
        <v>0.12050933472134046</v>
      </c>
      <c r="M6" s="27">
        <v>307.74482850474419</v>
      </c>
      <c r="N6" s="28">
        <f>M6/SUM($M$6:$M$10)</f>
        <v>0.22673693745266846</v>
      </c>
    </row>
    <row r="7" spans="2:32" x14ac:dyDescent="0.2">
      <c r="B7" s="26" t="s">
        <v>65</v>
      </c>
      <c r="C7" s="27">
        <v>136909.86229831562</v>
      </c>
      <c r="D7" s="28">
        <f t="shared" ref="D7:D10" si="0">C7/SUM($C$6:$C$10)</f>
        <v>0.38179728164886029</v>
      </c>
      <c r="E7" s="27">
        <v>12957.656791453075</v>
      </c>
      <c r="F7" s="28">
        <f t="shared" ref="F7:F10" si="1">E7/SUM($E$6:$E$10)</f>
        <v>0.58437433207036171</v>
      </c>
      <c r="G7" s="27">
        <v>43867.536495414337</v>
      </c>
      <c r="H7" s="28">
        <f t="shared" ref="H7:H10" si="2">G7/SUM($G$6:$G$10)</f>
        <v>0.5941631284576131</v>
      </c>
      <c r="I7" s="27">
        <v>708.94980594488959</v>
      </c>
      <c r="J7" s="28">
        <f t="shared" ref="J7:J10" si="3">I7/SUM($I$6:$I$10)</f>
        <v>0.58072904037182949</v>
      </c>
      <c r="K7" s="27">
        <v>84.171399317231021</v>
      </c>
      <c r="L7" s="28">
        <f t="shared" ref="L7:L10" si="4">K7/SUM($K$6:$K$10)</f>
        <v>0.61671151106592492</v>
      </c>
      <c r="M7" s="27">
        <v>793.12120526213096</v>
      </c>
      <c r="N7" s="28">
        <f t="shared" ref="N7:N10" si="5">M7/SUM($M$6:$M$10)</f>
        <v>0.58434734381615305</v>
      </c>
    </row>
    <row r="8" spans="2:32" x14ac:dyDescent="0.2">
      <c r="B8" s="26" t="s">
        <v>134</v>
      </c>
      <c r="C8" s="27">
        <v>27564.305186555597</v>
      </c>
      <c r="D8" s="28">
        <f t="shared" si="0"/>
        <v>7.6867923275210123E-2</v>
      </c>
      <c r="E8" s="27">
        <v>1215.4218375143812</v>
      </c>
      <c r="F8" s="28">
        <f t="shared" si="1"/>
        <v>5.4814025090530995E-2</v>
      </c>
      <c r="G8" s="27">
        <v>14070.933253352081</v>
      </c>
      <c r="H8" s="28">
        <f t="shared" si="2"/>
        <v>0.19058352462997058</v>
      </c>
      <c r="I8" s="27">
        <v>65.82939496916326</v>
      </c>
      <c r="J8" s="28">
        <f t="shared" si="3"/>
        <v>5.392348096879522E-2</v>
      </c>
      <c r="K8" s="27">
        <v>23.912967244144145</v>
      </c>
      <c r="L8" s="28">
        <f t="shared" si="4"/>
        <v>0.17520680757159648</v>
      </c>
      <c r="M8" s="27">
        <v>89.742362213308169</v>
      </c>
      <c r="N8" s="28">
        <f t="shared" si="5"/>
        <v>6.6119416098327347E-2</v>
      </c>
    </row>
    <row r="9" spans="2:32" x14ac:dyDescent="0.2">
      <c r="B9" s="26" t="s">
        <v>135</v>
      </c>
      <c r="C9" s="27">
        <v>47994.033850028267</v>
      </c>
      <c r="D9" s="28">
        <f t="shared" si="0"/>
        <v>0.13383982243278916</v>
      </c>
      <c r="E9" s="27">
        <v>2394.6685827347269</v>
      </c>
      <c r="F9" s="28">
        <f t="shared" si="1"/>
        <v>0.10799659815720113</v>
      </c>
      <c r="G9" s="27">
        <v>5609.7331132338131</v>
      </c>
      <c r="H9" s="28">
        <f t="shared" si="2"/>
        <v>7.5980938129946982E-2</v>
      </c>
      <c r="I9" s="27">
        <v>132.90660697857473</v>
      </c>
      <c r="J9" s="28">
        <f t="shared" si="3"/>
        <v>0.10886909860547082</v>
      </c>
      <c r="K9" s="27">
        <v>10.117501579758427</v>
      </c>
      <c r="L9" s="28">
        <f t="shared" si="4"/>
        <v>7.412945178621233E-2</v>
      </c>
      <c r="M9" s="27">
        <v>143.02410855833386</v>
      </c>
      <c r="N9" s="28">
        <f t="shared" si="5"/>
        <v>0.10537577028988054</v>
      </c>
    </row>
    <row r="10" spans="2:32" x14ac:dyDescent="0.2">
      <c r="B10" s="26" t="s">
        <v>69</v>
      </c>
      <c r="C10" s="27">
        <v>8263.2728858953087</v>
      </c>
      <c r="D10" s="28">
        <f t="shared" si="0"/>
        <v>2.3043592860266693E-2</v>
      </c>
      <c r="E10" s="27">
        <v>402.24189328134241</v>
      </c>
      <c r="F10" s="28">
        <f t="shared" si="1"/>
        <v>1.8140613036768241E-2</v>
      </c>
      <c r="G10" s="27">
        <v>960.00899722928125</v>
      </c>
      <c r="H10" s="28">
        <f t="shared" si="2"/>
        <v>1.3002826114952508E-2</v>
      </c>
      <c r="I10" s="27">
        <v>21.809744510742103</v>
      </c>
      <c r="J10" s="28">
        <f t="shared" si="3"/>
        <v>1.7865230929286123E-2</v>
      </c>
      <c r="K10" s="27">
        <v>1.8347432316575678</v>
      </c>
      <c r="L10" s="28">
        <f t="shared" si="4"/>
        <v>1.3442894854925884E-2</v>
      </c>
      <c r="M10" s="27">
        <v>23.644487742399594</v>
      </c>
      <c r="N10" s="28">
        <f t="shared" si="5"/>
        <v>1.742053234297062E-2</v>
      </c>
    </row>
    <row r="11" spans="2:32" x14ac:dyDescent="0.2">
      <c r="B11" s="262" t="s">
        <v>137</v>
      </c>
      <c r="C11" s="263"/>
      <c r="D11" s="263"/>
      <c r="E11" s="263"/>
      <c r="F11" s="263"/>
      <c r="G11" s="263"/>
      <c r="H11" s="263"/>
      <c r="I11" s="263"/>
      <c r="J11" s="263"/>
      <c r="K11" s="263"/>
      <c r="L11" s="263"/>
      <c r="M11" s="263"/>
      <c r="N11" s="264"/>
    </row>
    <row r="12" spans="2:32" x14ac:dyDescent="0.2">
      <c r="B12" s="26" t="s">
        <v>95</v>
      </c>
      <c r="C12" s="141">
        <v>13080.147468442299</v>
      </c>
      <c r="D12" s="28">
        <f>C12/SUM($C$12:$C$16)</f>
        <v>3.6476296617226303E-2</v>
      </c>
      <c r="E12" s="141">
        <v>32.72848963597378</v>
      </c>
      <c r="F12" s="28">
        <f>E12/SUM($E$12:$E$16)</f>
        <v>1.4760144969505305E-3</v>
      </c>
      <c r="G12" s="141">
        <v>18.073579013768057</v>
      </c>
      <c r="H12" s="28">
        <f>G12/SUM($G$12:$G$16)</f>
        <v>2.4479729447239194E-4</v>
      </c>
      <c r="I12" s="141">
        <v>0.85366074741435716</v>
      </c>
      <c r="J12" s="28">
        <f>I12/SUM($I$12:$I$16)</f>
        <v>6.9926753980602491E-4</v>
      </c>
      <c r="K12" s="141">
        <v>2.9639273997997689E-2</v>
      </c>
      <c r="L12" s="28">
        <f>K12/SUM($K$12:$K$16)</f>
        <v>2.171626182108669E-4</v>
      </c>
      <c r="M12" s="141">
        <v>0.88330002141235442</v>
      </c>
      <c r="N12" s="28">
        <f>M12/SUM($M$12:$M$16)</f>
        <v>6.5078832576979755E-4</v>
      </c>
    </row>
    <row r="13" spans="2:32" x14ac:dyDescent="0.2">
      <c r="B13" s="26" t="s">
        <v>96</v>
      </c>
      <c r="C13" s="141">
        <v>93323.816434245949</v>
      </c>
      <c r="D13" s="28">
        <f t="shared" ref="D13:D16" si="6">C13/SUM($C$12:$C$16)</f>
        <v>0.26024991063136121</v>
      </c>
      <c r="E13" s="141">
        <v>3655.7030512966239</v>
      </c>
      <c r="F13" s="28">
        <f>E13/SUM($E$12:$E$16)</f>
        <v>0.1648676966238366</v>
      </c>
      <c r="G13" s="141">
        <v>1206.3859173501453</v>
      </c>
      <c r="H13" s="28">
        <f>G13/SUM($G$12:$G$16)</f>
        <v>1.6339874267954448E-2</v>
      </c>
      <c r="I13" s="141">
        <v>180.79450337486924</v>
      </c>
      <c r="J13" s="28">
        <f>I13/SUM($I$12:$I$16)</f>
        <v>0.14809598305687618</v>
      </c>
      <c r="K13" s="141">
        <v>2.1309840515010952</v>
      </c>
      <c r="L13" s="28">
        <f>K13/SUM($K$12:$K$16)</f>
        <v>1.5613407940452304E-2</v>
      </c>
      <c r="M13" s="141">
        <v>182.92548742637058</v>
      </c>
      <c r="N13" s="28">
        <f>M13/SUM($M$12:$M$16)</f>
        <v>0.13477388069399499</v>
      </c>
    </row>
    <row r="14" spans="2:32" x14ac:dyDescent="0.2">
      <c r="B14" s="26" t="s">
        <v>97</v>
      </c>
      <c r="C14" s="141">
        <v>90330.270275781542</v>
      </c>
      <c r="D14" s="28">
        <f t="shared" si="6"/>
        <v>0.25190187955014054</v>
      </c>
      <c r="E14" s="141">
        <v>6837.7687453072467</v>
      </c>
      <c r="F14" s="28">
        <f>E14/SUM($E$12:$E$16)</f>
        <v>0.30837493288340823</v>
      </c>
      <c r="G14" s="141">
        <v>8550.8417318269549</v>
      </c>
      <c r="H14" s="28">
        <f>G14/SUM($G$12:$G$16)</f>
        <v>0.11581673556843886</v>
      </c>
      <c r="I14" s="141">
        <v>388.04381305920475</v>
      </c>
      <c r="J14" s="28">
        <f>I14/SUM($I$12:$I$16)</f>
        <v>0.31786215228559728</v>
      </c>
      <c r="K14" s="141">
        <v>15.202505438436397</v>
      </c>
      <c r="L14" s="28">
        <f>K14/SUM($K$12:$K$16)</f>
        <v>0.11138653006813937</v>
      </c>
      <c r="M14" s="141">
        <v>403.2463184976429</v>
      </c>
      <c r="N14" s="28">
        <f>M14/SUM($M$12:$M$16)</f>
        <v>0.29709950201099938</v>
      </c>
    </row>
    <row r="15" spans="2:32" x14ac:dyDescent="0.2">
      <c r="B15" s="26" t="s">
        <v>98</v>
      </c>
      <c r="C15" s="141">
        <v>86670.352719395596</v>
      </c>
      <c r="D15" s="28">
        <f t="shared" si="6"/>
        <v>0.24169555437655851</v>
      </c>
      <c r="E15" s="141">
        <v>7021.9754189804207</v>
      </c>
      <c r="F15" s="28">
        <f>E15/SUM($E$12:$E$16)</f>
        <v>0.3166824265624868</v>
      </c>
      <c r="G15" s="141">
        <v>21398.513999329291</v>
      </c>
      <c r="H15" s="28">
        <f>G15/SUM($G$12:$G$16)</f>
        <v>0.28983182184198231</v>
      </c>
      <c r="I15" s="141">
        <v>413.07091500524564</v>
      </c>
      <c r="J15" s="28">
        <f>I15/SUM($I$12:$I$16)</f>
        <v>0.33836284891395935</v>
      </c>
      <c r="K15" s="141">
        <v>40.32737867997632</v>
      </c>
      <c r="L15" s="28">
        <f>K15/SUM($K$12:$K$16)</f>
        <v>0.29547279532948006</v>
      </c>
      <c r="M15" s="141">
        <v>453.39829368522135</v>
      </c>
      <c r="N15" s="28">
        <f>M15/SUM($M$12:$M$16)</f>
        <v>0.33404993694270635</v>
      </c>
    </row>
    <row r="16" spans="2:32" x14ac:dyDescent="0.2">
      <c r="B16" s="26" t="s">
        <v>138</v>
      </c>
      <c r="C16" s="141">
        <v>75188.490839776045</v>
      </c>
      <c r="D16" s="28">
        <f t="shared" si="6"/>
        <v>0.20967635882471336</v>
      </c>
      <c r="E16" s="141">
        <v>4625.3799770520691</v>
      </c>
      <c r="F16" s="28">
        <f>E16/SUM($E$12:$E$16)</f>
        <v>0.20859892943331776</v>
      </c>
      <c r="G16" s="141">
        <v>42656.980381237605</v>
      </c>
      <c r="H16" s="28">
        <f>G16/SUM($G$12:$G$16)</f>
        <v>0.57776677102715202</v>
      </c>
      <c r="I16" s="141">
        <v>238.02986426119219</v>
      </c>
      <c r="J16" s="28">
        <f>I16/SUM($I$12:$I$16)</f>
        <v>0.19497974820376118</v>
      </c>
      <c r="K16" s="141">
        <v>78.793728389060519</v>
      </c>
      <c r="L16" s="28">
        <f>K16/SUM($K$12:$K$16)</f>
        <v>0.57731010404371741</v>
      </c>
      <c r="M16" s="141">
        <v>316.82359265025434</v>
      </c>
      <c r="N16" s="28">
        <f>M16/SUM($M$12:$M$16)</f>
        <v>0.23342589202652941</v>
      </c>
    </row>
    <row r="17" spans="2:14" x14ac:dyDescent="0.2">
      <c r="B17" s="262" t="s">
        <v>139</v>
      </c>
      <c r="C17" s="263"/>
      <c r="D17" s="263"/>
      <c r="E17" s="263"/>
      <c r="F17" s="263"/>
      <c r="G17" s="263"/>
      <c r="H17" s="263"/>
      <c r="I17" s="263"/>
      <c r="J17" s="263"/>
      <c r="K17" s="263"/>
      <c r="L17" s="263"/>
      <c r="M17" s="263"/>
      <c r="N17" s="264"/>
    </row>
    <row r="18" spans="2:14" x14ac:dyDescent="0.2">
      <c r="B18" s="109" t="s">
        <v>140</v>
      </c>
      <c r="C18" s="141">
        <v>14636.627788375221</v>
      </c>
      <c r="D18" s="28">
        <f>C18/SUM($C$18:$C$22)</f>
        <v>4.0816816322015899E-2</v>
      </c>
      <c r="E18" s="141">
        <v>1236.5282540141166</v>
      </c>
      <c r="F18" s="28">
        <f>E18/SUM($E$18:$E$22)</f>
        <v>5.5765898430206948E-2</v>
      </c>
      <c r="G18" s="141">
        <v>5104.6273688746014</v>
      </c>
      <c r="H18" s="28">
        <f>G18/SUM($G$18:$G$22)</f>
        <v>6.9139541661245349E-2</v>
      </c>
      <c r="I18" s="141">
        <v>79.652918971551529</v>
      </c>
      <c r="J18" s="28">
        <f>I18/SUM($I$18:$I$22)</f>
        <v>6.5246880398696708E-2</v>
      </c>
      <c r="K18" s="141">
        <v>9.8697771005737511</v>
      </c>
      <c r="L18" s="28">
        <f>K18/SUM($K$18:$K$22)</f>
        <v>7.2314410820691996E-2</v>
      </c>
      <c r="M18" s="141">
        <v>89.522696072125029</v>
      </c>
      <c r="N18" s="28">
        <f>M18/SUM($M$18:$M$22)</f>
        <v>6.5957572832413547E-2</v>
      </c>
    </row>
    <row r="19" spans="2:14" x14ac:dyDescent="0.2">
      <c r="B19" s="109" t="s">
        <v>141</v>
      </c>
      <c r="C19" s="141">
        <v>238522.06513902126</v>
      </c>
      <c r="D19" s="28">
        <f t="shared" ref="D19:D22" si="7">C19/SUM($C$18:$C$22)</f>
        <v>0.66516081861832199</v>
      </c>
      <c r="E19" s="141">
        <v>15973.997195962471</v>
      </c>
      <c r="F19" s="28">
        <f t="shared" ref="F19:F22" si="8">E19/SUM($E$18:$E$22)</f>
        <v>0.72040756227175062</v>
      </c>
      <c r="G19" s="141">
        <v>27403.614090146417</v>
      </c>
      <c r="H19" s="28">
        <f t="shared" ref="H19:H22" si="9">G19/SUM($G$18:$G$22)</f>
        <v>0.3711678015141936</v>
      </c>
      <c r="I19" s="141">
        <v>900.61828621695417</v>
      </c>
      <c r="J19" s="28">
        <f t="shared" ref="J19:J22" si="10">I19/SUM($I$18:$I$22)</f>
        <v>0.73773233127418925</v>
      </c>
      <c r="K19" s="141">
        <v>51.593701567758963</v>
      </c>
      <c r="L19" s="28">
        <f t="shared" ref="L19:L22" si="11">K19/SUM($K$18:$K$22)</f>
        <v>0.37801949252878392</v>
      </c>
      <c r="M19" s="141">
        <v>952.21198778471307</v>
      </c>
      <c r="N19" s="28">
        <f t="shared" ref="N19:N22" si="12">M19/SUM($M$18:$M$22)</f>
        <v>0.70156054600508699</v>
      </c>
    </row>
    <row r="20" spans="2:14" ht="14.25" x14ac:dyDescent="0.2">
      <c r="B20" s="109" t="s">
        <v>668</v>
      </c>
      <c r="C20" s="141">
        <v>84893.975930778499</v>
      </c>
      <c r="D20" s="28">
        <f t="shared" si="7"/>
        <v>0.2367418146114432</v>
      </c>
      <c r="E20" s="141">
        <v>4221.6381124074114</v>
      </c>
      <c r="F20" s="28">
        <f t="shared" si="8"/>
        <v>0.19039066953897085</v>
      </c>
      <c r="G20" s="141">
        <v>36173.972864117284</v>
      </c>
      <c r="H20" s="28">
        <f t="shared" si="9"/>
        <v>0.48995778205898571</v>
      </c>
      <c r="I20" s="141">
        <v>202.41689425459427</v>
      </c>
      <c r="J20" s="28">
        <f t="shared" si="10"/>
        <v>0.16580774516025115</v>
      </c>
      <c r="K20" s="141">
        <v>65.055285038835208</v>
      </c>
      <c r="L20" s="28">
        <f t="shared" si="11"/>
        <v>0.47665054239999682</v>
      </c>
      <c r="M20" s="141">
        <v>267.4721792934314</v>
      </c>
      <c r="N20" s="28">
        <f t="shared" si="12"/>
        <v>0.19706528646297178</v>
      </c>
    </row>
    <row r="21" spans="2:14" ht="14.25" x14ac:dyDescent="0.2">
      <c r="B21" s="109" t="s">
        <v>669</v>
      </c>
      <c r="C21" s="141">
        <v>11418.048426648202</v>
      </c>
      <c r="D21" s="28">
        <f t="shared" si="7"/>
        <v>3.1841240490964019E-2</v>
      </c>
      <c r="E21" s="141">
        <v>661.62966335071224</v>
      </c>
      <c r="F21" s="28">
        <f t="shared" si="8"/>
        <v>2.9838681392885192E-2</v>
      </c>
      <c r="G21" s="141">
        <v>4145.1743550288093</v>
      </c>
      <c r="H21" s="28">
        <f t="shared" si="9"/>
        <v>5.6144246054110079E-2</v>
      </c>
      <c r="I21" s="141">
        <v>34.225873471417806</v>
      </c>
      <c r="J21" s="28">
        <f t="shared" si="10"/>
        <v>2.803577699052183E-2</v>
      </c>
      <c r="K21" s="141">
        <v>7.9320084574448986</v>
      </c>
      <c r="L21" s="28">
        <f t="shared" si="11"/>
        <v>5.8116663869899277E-2</v>
      </c>
      <c r="M21" s="141">
        <v>42.157881928862743</v>
      </c>
      <c r="N21" s="28">
        <f t="shared" si="12"/>
        <v>3.1060632552252519E-2</v>
      </c>
    </row>
    <row r="22" spans="2:14" ht="14.25" x14ac:dyDescent="0.2">
      <c r="B22" s="109" t="s">
        <v>670</v>
      </c>
      <c r="C22" s="141">
        <v>9122.360453101066</v>
      </c>
      <c r="D22" s="28">
        <f t="shared" si="7"/>
        <v>2.5439309957254928E-2</v>
      </c>
      <c r="E22" s="141">
        <v>79.762456537255559</v>
      </c>
      <c r="F22" s="28">
        <f t="shared" si="8"/>
        <v>3.5971883661864226E-3</v>
      </c>
      <c r="G22" s="141">
        <v>1003.4069305907116</v>
      </c>
      <c r="H22" s="28">
        <f t="shared" si="9"/>
        <v>1.3590628711465318E-2</v>
      </c>
      <c r="I22" s="141">
        <v>3.87878353338388</v>
      </c>
      <c r="J22" s="28">
        <f t="shared" si="10"/>
        <v>3.1772661763408896E-3</v>
      </c>
      <c r="K22" s="141">
        <v>2.0334636683592153</v>
      </c>
      <c r="L22" s="28">
        <f t="shared" si="11"/>
        <v>1.4898890380627888E-2</v>
      </c>
      <c r="M22" s="141">
        <v>5.9122472017430887</v>
      </c>
      <c r="N22" s="28">
        <f t="shared" si="12"/>
        <v>4.3559621472752464E-3</v>
      </c>
    </row>
    <row r="23" spans="2:14" x14ac:dyDescent="0.2">
      <c r="B23" s="262" t="s">
        <v>142</v>
      </c>
      <c r="C23" s="263"/>
      <c r="D23" s="263"/>
      <c r="E23" s="263"/>
      <c r="F23" s="263"/>
      <c r="G23" s="263"/>
      <c r="H23" s="263"/>
      <c r="I23" s="263"/>
      <c r="J23" s="263"/>
      <c r="K23" s="263"/>
      <c r="L23" s="263"/>
      <c r="M23" s="263"/>
      <c r="N23" s="264"/>
    </row>
    <row r="24" spans="2:14" x14ac:dyDescent="0.2">
      <c r="B24" s="12" t="s">
        <v>143</v>
      </c>
      <c r="C24" s="114">
        <f>SUM(C25:C26)</f>
        <v>280294.08517150104</v>
      </c>
      <c r="D24" s="28">
        <f>C24/SUM($C$24,$C$27)</f>
        <v>0.7816494588791757</v>
      </c>
      <c r="E24" s="114">
        <f t="shared" ref="E24:N24" si="13">SUM(E25:E26)</f>
        <v>15234.66740762661</v>
      </c>
      <c r="F24" s="28">
        <f t="shared" si="13"/>
        <v>0.68706470112083795</v>
      </c>
      <c r="G24" s="114">
        <f t="shared" si="13"/>
        <v>61604.614162870515</v>
      </c>
      <c r="H24" s="28">
        <f t="shared" si="13"/>
        <v>0.83440268596486622</v>
      </c>
      <c r="I24" s="114">
        <f t="shared" si="13"/>
        <v>845.83307068071861</v>
      </c>
      <c r="J24" s="28">
        <f t="shared" si="13"/>
        <v>0.69285557783105778</v>
      </c>
      <c r="K24" s="114">
        <f t="shared" si="13"/>
        <v>112.76232680373579</v>
      </c>
      <c r="L24" s="28">
        <f t="shared" si="13"/>
        <v>0.82619304797759252</v>
      </c>
      <c r="M24" s="114">
        <f t="shared" si="13"/>
        <v>958.59539748445445</v>
      </c>
      <c r="N24" s="28">
        <f t="shared" si="13"/>
        <v>0.70626364620939774</v>
      </c>
    </row>
    <row r="25" spans="2:14" ht="14.25" x14ac:dyDescent="0.2">
      <c r="B25" s="100" t="s">
        <v>672</v>
      </c>
      <c r="C25" s="33">
        <v>204470.78172276198</v>
      </c>
      <c r="D25" s="28">
        <f>C25/SUM($C$25:$C$26,$C$28:$C$29)</f>
        <v>0.57020281320745159</v>
      </c>
      <c r="E25" s="33">
        <v>8297.2301444603509</v>
      </c>
      <c r="F25" s="28">
        <f>E25/SUM($E$25:$E$26,$E$28:$E$29)</f>
        <v>0.37419484106890444</v>
      </c>
      <c r="G25" s="33">
        <v>28444.754219558192</v>
      </c>
      <c r="H25" s="28">
        <f>G25/SUM($G$25:$G$26,$G$28:$G$29)</f>
        <v>0.38526950691811451</v>
      </c>
      <c r="I25" s="33">
        <v>471.29071466601846</v>
      </c>
      <c r="J25" s="28">
        <f>I25/SUM($I$25:$I$26,$I$28:$I$29)</f>
        <v>0.38605300709458301</v>
      </c>
      <c r="K25" s="33">
        <v>49.497594400586259</v>
      </c>
      <c r="L25" s="28">
        <f>K25/SUM($K$25:$K$26,$K$28:$K$29)</f>
        <v>0.36266162241008448</v>
      </c>
      <c r="M25" s="33">
        <v>520.7883090666005</v>
      </c>
      <c r="N25" s="28">
        <f>M25/SUM($M$25:$M$26,$M$28:$M$29)</f>
        <v>0.3837008304335916</v>
      </c>
    </row>
    <row r="26" spans="2:14" x14ac:dyDescent="0.2">
      <c r="B26" s="100" t="s">
        <v>144</v>
      </c>
      <c r="C26" s="33">
        <v>75823.30344873904</v>
      </c>
      <c r="D26" s="28">
        <f>C26/SUM($C$25:$C$26,$C$28:$C$29)</f>
        <v>0.21144664567172394</v>
      </c>
      <c r="E26" s="33">
        <v>6937.4372631662591</v>
      </c>
      <c r="F26" s="28">
        <f>E26/SUM($E$25:$E$26,$E$28:$E$29)</f>
        <v>0.31286986005193346</v>
      </c>
      <c r="G26" s="33">
        <v>33159.859943312324</v>
      </c>
      <c r="H26" s="28">
        <f>G26/SUM($G$25:$G$26,$G$28:$G$29)</f>
        <v>0.44913317904675171</v>
      </c>
      <c r="I26" s="33">
        <v>374.54235601470015</v>
      </c>
      <c r="J26" s="28">
        <f>I26/SUM($I$25:$I$26,$I$28:$I$29)</f>
        <v>0.30680257073647477</v>
      </c>
      <c r="K26" s="33">
        <v>63.264732403149537</v>
      </c>
      <c r="L26" s="28">
        <f>K26/SUM($K$25:$K$26,$K$28:$K$29)</f>
        <v>0.46353142556750804</v>
      </c>
      <c r="M26" s="33">
        <v>437.807088417854</v>
      </c>
      <c r="N26" s="28">
        <f>M26/SUM($M$25:$M$26,$M$28:$M$29)</f>
        <v>0.32256281577580614</v>
      </c>
    </row>
    <row r="27" spans="2:14" x14ac:dyDescent="0.2">
      <c r="B27" s="12" t="s">
        <v>145</v>
      </c>
      <c r="C27" s="114">
        <f>SUM(C28:C29)</f>
        <v>78298.992566211324</v>
      </c>
      <c r="D27" s="28">
        <f>C27/SUM($C$24,$C$27)</f>
        <v>0.21835054112082433</v>
      </c>
      <c r="E27" s="114">
        <f t="shared" ref="E27" si="14">SUM(E28:E29)</f>
        <v>6938.8882746455974</v>
      </c>
      <c r="F27" s="28">
        <f t="shared" ref="F27" si="15">SUM(F28:F29)</f>
        <v>0.31293529887916216</v>
      </c>
      <c r="G27" s="114">
        <f t="shared" ref="G27" si="16">SUM(G28:G29)</f>
        <v>12226.181445887229</v>
      </c>
      <c r="H27" s="28">
        <f t="shared" ref="H27" si="17">SUM(H28:H29)</f>
        <v>0.16559731403513372</v>
      </c>
      <c r="I27" s="114">
        <f t="shared" ref="I27" si="18">SUM(I28:I29)</f>
        <v>374.95968576723794</v>
      </c>
      <c r="J27" s="28">
        <f t="shared" ref="J27" si="19">SUM(J28:J29)</f>
        <v>0.30714442216894233</v>
      </c>
      <c r="K27" s="114">
        <f t="shared" ref="K27" si="20">SUM(K28:K29)</f>
        <v>23.721909029236347</v>
      </c>
      <c r="L27" s="28">
        <f t="shared" ref="L27" si="21">SUM(L28:L29)</f>
        <v>0.17380695202240753</v>
      </c>
      <c r="M27" s="114">
        <f t="shared" ref="M27" si="22">SUM(M28:M29)</f>
        <v>398.68159479647613</v>
      </c>
      <c r="N27" s="28">
        <f t="shared" ref="N27" si="23">SUM(N28:N29)</f>
        <v>0.29373635379060242</v>
      </c>
    </row>
    <row r="28" spans="2:14" ht="14.25" x14ac:dyDescent="0.2">
      <c r="B28" s="100" t="s">
        <v>672</v>
      </c>
      <c r="C28" s="33">
        <v>17212.433716552772</v>
      </c>
      <c r="D28" s="28">
        <f>C28/SUM($C$25:$C$26,$C$28:$C$29)</f>
        <v>4.7999905143574891E-2</v>
      </c>
      <c r="E28" s="33">
        <v>918.66874635929514</v>
      </c>
      <c r="F28" s="28">
        <f>E28/SUM($E$25:$E$26,$E$28:$E$29)</f>
        <v>4.143082686074441E-2</v>
      </c>
      <c r="G28" s="33">
        <v>1518.5048937852237</v>
      </c>
      <c r="H28" s="28">
        <f>G28/SUM($G$25:$G$26,$G$28:$G$29)</f>
        <v>2.0567364624269332E-2</v>
      </c>
      <c r="I28" s="33">
        <v>40.55223583705213</v>
      </c>
      <c r="J28" s="28">
        <f>I28/SUM($I$25:$I$26,$I$28:$I$29)</f>
        <v>3.3217952533600992E-2</v>
      </c>
      <c r="K28" s="33">
        <v>2.8152421151559168</v>
      </c>
      <c r="L28" s="28">
        <f>K28/SUM($K$25:$K$26,$K$28:$K$29)</f>
        <v>2.0626866523993134E-2</v>
      </c>
      <c r="M28" s="33">
        <v>43.367477952207814</v>
      </c>
      <c r="N28" s="28">
        <f>M28/SUM($M$25:$M$26,$M$28:$M$29)</f>
        <v>3.1951825750267761E-2</v>
      </c>
    </row>
    <row r="29" spans="2:14" x14ac:dyDescent="0.2">
      <c r="B29" s="100" t="s">
        <v>144</v>
      </c>
      <c r="C29" s="33">
        <v>61086.558849658555</v>
      </c>
      <c r="D29" s="28">
        <f>C29/SUM($C$25:$C$26,$C$28:$C$29)</f>
        <v>0.17035063597724942</v>
      </c>
      <c r="E29" s="33">
        <v>6020.2195282863022</v>
      </c>
      <c r="F29" s="28">
        <f>E29/SUM($E$25:$E$26,$E$28:$E$29)</f>
        <v>0.27150447201841776</v>
      </c>
      <c r="G29" s="33">
        <v>10707.676552102004</v>
      </c>
      <c r="H29" s="28">
        <f>G29/SUM($G$25:$G$26,$G$28:$G$29)</f>
        <v>0.14502994941086439</v>
      </c>
      <c r="I29" s="33">
        <v>334.40744993018581</v>
      </c>
      <c r="J29" s="28">
        <f>I29/SUM($I$25:$I$26,$I$28:$I$29)</f>
        <v>0.27392646963534134</v>
      </c>
      <c r="K29" s="33">
        <v>20.906666914080429</v>
      </c>
      <c r="L29" s="28">
        <f>K29/SUM($K$25:$K$26,$K$28:$K$29)</f>
        <v>0.15318008549841441</v>
      </c>
      <c r="M29" s="33">
        <v>355.31411684426831</v>
      </c>
      <c r="N29" s="28">
        <f>M29/SUM($M$25:$M$26,$M$28:$M$29)</f>
        <v>0.26178452804033464</v>
      </c>
    </row>
    <row r="30" spans="2:14" x14ac:dyDescent="0.2">
      <c r="B30" s="262" t="s">
        <v>146</v>
      </c>
      <c r="C30" s="263"/>
      <c r="D30" s="263"/>
      <c r="E30" s="263"/>
      <c r="F30" s="263"/>
      <c r="G30" s="263"/>
      <c r="H30" s="263"/>
      <c r="I30" s="263"/>
      <c r="J30" s="263"/>
      <c r="K30" s="263"/>
      <c r="L30" s="263"/>
      <c r="M30" s="263"/>
      <c r="N30" s="264"/>
    </row>
    <row r="31" spans="2:14" ht="14.25" x14ac:dyDescent="0.2">
      <c r="B31" s="109" t="s">
        <v>671</v>
      </c>
      <c r="C31" s="30">
        <v>182415.799740268</v>
      </c>
      <c r="D31" s="28">
        <f>C31/SUM($C$31,$C$32,$C$35,$C$38)</f>
        <v>0.5086986087156683</v>
      </c>
      <c r="E31" s="30">
        <v>7609.0669205327613</v>
      </c>
      <c r="F31" s="28">
        <f>E31/SUM($E$31,$E$32,$E$35,$E$38)</f>
        <v>0.34315952883534123</v>
      </c>
      <c r="G31" s="30">
        <v>11866.161952803868</v>
      </c>
      <c r="H31" s="28">
        <f>G31/SUM($G$31,$G$32,$G$35,$G$38)</f>
        <v>0.16072103591683748</v>
      </c>
      <c r="I31" s="30">
        <v>426.23000381184215</v>
      </c>
      <c r="J31" s="28">
        <f>I31/SUM($I$31,$I$32,$I$35,$I$38)</f>
        <v>0.34914198299473193</v>
      </c>
      <c r="K31" s="30">
        <v>20.955093250291398</v>
      </c>
      <c r="L31" s="28">
        <f>K31/SUM($K$31,$K$32,$K$35,$K$38)</f>
        <v>0.15353489816901633</v>
      </c>
      <c r="M31" s="30">
        <v>447.18509706213132</v>
      </c>
      <c r="N31" s="28">
        <f>M31/SUM($M$31,$M$32,$M$35,$M$38)</f>
        <v>0.32947224450525064</v>
      </c>
    </row>
    <row r="32" spans="2:14" x14ac:dyDescent="0.2">
      <c r="B32" s="109" t="s">
        <v>105</v>
      </c>
      <c r="C32" s="114">
        <f>SUM(C33:C34)</f>
        <v>23666.83439045924</v>
      </c>
      <c r="D32" s="28">
        <f t="shared" ref="D32:N32" si="24">SUM(D33:D34)</f>
        <v>6.5999139023444453E-2</v>
      </c>
      <c r="E32" s="114">
        <f t="shared" si="24"/>
        <v>1965.2808872126125</v>
      </c>
      <c r="F32" s="28">
        <f>SUM(F33:F34)</f>
        <v>8.8631742936197216E-2</v>
      </c>
      <c r="G32" s="114">
        <f t="shared" si="24"/>
        <v>5095.3402853275438</v>
      </c>
      <c r="H32" s="28">
        <f t="shared" si="24"/>
        <v>6.9013752910487752E-2</v>
      </c>
      <c r="I32" s="114">
        <f t="shared" si="24"/>
        <v>105.10425350453789</v>
      </c>
      <c r="J32" s="28">
        <f t="shared" si="24"/>
        <v>8.6095082846290721E-2</v>
      </c>
      <c r="K32" s="114">
        <f t="shared" si="24"/>
        <v>9.7971613672878242</v>
      </c>
      <c r="L32" s="28">
        <f t="shared" si="24"/>
        <v>7.1782365981646945E-2</v>
      </c>
      <c r="M32" s="114">
        <f t="shared" si="24"/>
        <v>114.90141487182595</v>
      </c>
      <c r="N32" s="28">
        <f t="shared" si="24"/>
        <v>8.4655833352580867E-2</v>
      </c>
    </row>
    <row r="33" spans="2:14" x14ac:dyDescent="0.2">
      <c r="B33" s="100" t="s">
        <v>147</v>
      </c>
      <c r="C33" s="33">
        <v>10045.861912623544</v>
      </c>
      <c r="D33" s="28">
        <f>C33/SUM($C$31,$C$32,$C$35,$C$38)</f>
        <v>2.8014656546075628E-2</v>
      </c>
      <c r="E33" s="33">
        <v>785.38379538965171</v>
      </c>
      <c r="F33" s="28">
        <f>E33/SUM($E$31,$E$32,$E$35,$E$38)</f>
        <v>3.5419840040249589E-2</v>
      </c>
      <c r="G33" s="33">
        <v>2922.6483963731093</v>
      </c>
      <c r="H33" s="28">
        <f>G33/SUM($G$31,$G$32,$G$35,$G$38)</f>
        <v>3.9585763261454278E-2</v>
      </c>
      <c r="I33" s="33">
        <v>40.257414166125066</v>
      </c>
      <c r="J33" s="28">
        <f>I33/SUM($I$31,$I$32,$I$35,$I$38)</f>
        <v>3.2976452353189793E-2</v>
      </c>
      <c r="K33" s="33">
        <v>5.5168889451156851</v>
      </c>
      <c r="L33" s="28">
        <f>K33/SUM($K$31,$K$32,$K$35,$K$38)</f>
        <v>4.0421437035901994E-2</v>
      </c>
      <c r="M33" s="33">
        <v>45.774303111240833</v>
      </c>
      <c r="N33" s="28">
        <f>M33/SUM($M$31,$M$32,$M$35,$M$38)</f>
        <v>3.3725100603316419E-2</v>
      </c>
    </row>
    <row r="34" spans="2:14" x14ac:dyDescent="0.2">
      <c r="B34" s="100" t="s">
        <v>148</v>
      </c>
      <c r="C34" s="33">
        <v>13620.972477835698</v>
      </c>
      <c r="D34" s="28">
        <f>C34/SUM($C$31,$C$32,$C$35,$C$38)</f>
        <v>3.7984482477368818E-2</v>
      </c>
      <c r="E34" s="33">
        <v>1179.8970918229606</v>
      </c>
      <c r="F34" s="28">
        <f>E34/SUM($E$31,$E$32,$E$35,$E$38)</f>
        <v>5.3211902895947627E-2</v>
      </c>
      <c r="G34" s="33">
        <v>2172.691888954434</v>
      </c>
      <c r="H34" s="28">
        <f>G34/SUM($G$31,$G$32,$G$35,$G$38)</f>
        <v>2.9427989649033471E-2</v>
      </c>
      <c r="I34" s="33">
        <v>64.846839338412835</v>
      </c>
      <c r="J34" s="28">
        <f>I34/SUM($I$31,$I$32,$I$35,$I$38)</f>
        <v>5.3118630493100935E-2</v>
      </c>
      <c r="K34" s="33">
        <v>4.28027242217214</v>
      </c>
      <c r="L34" s="28">
        <f>K34/SUM($K$31,$K$32,$K$35,$K$38)</f>
        <v>3.1360928945744958E-2</v>
      </c>
      <c r="M34" s="33">
        <v>69.127111760585123</v>
      </c>
      <c r="N34" s="28">
        <f>M34/SUM($M$31,$M$32,$M$35,$M$38)</f>
        <v>5.0930732749264442E-2</v>
      </c>
    </row>
    <row r="35" spans="2:14" x14ac:dyDescent="0.2">
      <c r="B35" s="109" t="s">
        <v>106</v>
      </c>
      <c r="C35" s="114">
        <f>SUM(C36:C37)</f>
        <v>77321.952767256647</v>
      </c>
      <c r="D35" s="28">
        <f>SUM(D36:D37)</f>
        <v>0.215625893436243</v>
      </c>
      <c r="E35" s="114">
        <f t="shared" ref="E35:N35" si="25">SUM(E36:E37)</f>
        <v>7973.8278974748455</v>
      </c>
      <c r="F35" s="28">
        <f t="shared" si="25"/>
        <v>0.35960979879514343</v>
      </c>
      <c r="G35" s="114">
        <f t="shared" si="25"/>
        <v>14212.312989388902</v>
      </c>
      <c r="H35" s="28">
        <f t="shared" si="25"/>
        <v>0.19249844014552397</v>
      </c>
      <c r="I35" s="114">
        <f t="shared" si="25"/>
        <v>451.42863487037806</v>
      </c>
      <c r="J35" s="28">
        <f t="shared" si="25"/>
        <v>0.36978318595522008</v>
      </c>
      <c r="K35" s="114">
        <f t="shared" si="25"/>
        <v>26.938252826332494</v>
      </c>
      <c r="L35" s="28">
        <f t="shared" si="25"/>
        <v>0.19737263180561898</v>
      </c>
      <c r="M35" s="114">
        <f t="shared" si="25"/>
        <v>478.36688769671093</v>
      </c>
      <c r="N35" s="28">
        <f t="shared" si="25"/>
        <v>0.35244603011564268</v>
      </c>
    </row>
    <row r="36" spans="2:14" x14ac:dyDescent="0.2">
      <c r="B36" s="100" t="s">
        <v>147</v>
      </c>
      <c r="C36" s="33">
        <v>30568.511569125389</v>
      </c>
      <c r="D36" s="28">
        <f>C36/SUM($C$31,$C$32,$C$35,$C$38)</f>
        <v>8.5245682270197687E-2</v>
      </c>
      <c r="E36" s="33">
        <v>3309.0139440024104</v>
      </c>
      <c r="F36" s="28">
        <f>E36/SUM($E$31,$E$32,$E$35,$E$38)</f>
        <v>0.14923244568519792</v>
      </c>
      <c r="G36" s="33">
        <v>6776.9756832695421</v>
      </c>
      <c r="H36" s="28">
        <f>G36/SUM($G$31,$G$32,$G$35,$G$38)</f>
        <v>9.1790635972310269E-2</v>
      </c>
      <c r="I36" s="33">
        <v>191.43251253665011</v>
      </c>
      <c r="J36" s="28">
        <f>I36/SUM($I$31,$I$32,$I$35,$I$38)</f>
        <v>0.15681000032605619</v>
      </c>
      <c r="K36" s="33">
        <v>12.69616255676064</v>
      </c>
      <c r="L36" s="28">
        <f>K36/SUM($K$31,$K$32,$K$35,$K$38)</f>
        <v>9.302292297183723E-2</v>
      </c>
      <c r="M36" s="27">
        <v>204.12867509341095</v>
      </c>
      <c r="N36" s="28">
        <f>M36/SUM($M$31,$M$32,$M$35,$M$38)</f>
        <v>0.15039573812444129</v>
      </c>
    </row>
    <row r="37" spans="2:14" x14ac:dyDescent="0.2">
      <c r="B37" s="100" t="s">
        <v>148</v>
      </c>
      <c r="C37" s="33">
        <v>46753.441198131251</v>
      </c>
      <c r="D37" s="28">
        <f>C37/SUM($C$31,$C$32,$C$35,$C$38)</f>
        <v>0.13038021116604531</v>
      </c>
      <c r="E37" s="33">
        <v>4664.8139534724351</v>
      </c>
      <c r="F37" s="28">
        <f>E37/SUM($E$31,$E$32,$E$35,$E$38)</f>
        <v>0.21037735310994549</v>
      </c>
      <c r="G37" s="33">
        <v>7435.3373061193597</v>
      </c>
      <c r="H37" s="28">
        <f>G37/SUM($G$31,$G$32,$G$35,$G$38)</f>
        <v>0.10070780417321372</v>
      </c>
      <c r="I37" s="33">
        <v>259.99612233372795</v>
      </c>
      <c r="J37" s="28">
        <f>I37/SUM($I$31,$I$32,$I$35,$I$38)</f>
        <v>0.21297318562916387</v>
      </c>
      <c r="K37" s="33">
        <v>14.242090269571856</v>
      </c>
      <c r="L37" s="28">
        <f>K37/SUM($K$31,$K$32,$K$35,$K$38)</f>
        <v>0.10434970883378177</v>
      </c>
      <c r="M37" s="27">
        <v>274.23821260329998</v>
      </c>
      <c r="N37" s="28">
        <f>M37/SUM($M$31,$M$32,$M$35,$M$38)</f>
        <v>0.20205029199120139</v>
      </c>
    </row>
    <row r="38" spans="2:14" x14ac:dyDescent="0.2">
      <c r="B38" s="109" t="s">
        <v>149</v>
      </c>
      <c r="C38" s="33">
        <v>75188.490839776045</v>
      </c>
      <c r="D38" s="28">
        <f>C38/SUM($C$31,$C$32,$C$35,$C$38)</f>
        <v>0.20967635882464405</v>
      </c>
      <c r="E38" s="33">
        <v>4625.3799770520691</v>
      </c>
      <c r="F38" s="28">
        <f>E38/SUM($E$31,$E$32,$E$35,$E$38)</f>
        <v>0.20859892943331823</v>
      </c>
      <c r="G38" s="33">
        <v>42656.980381237605</v>
      </c>
      <c r="H38" s="28">
        <f>G38/SUM($G$31,$G$32,$G$35,$G$38)</f>
        <v>0.57776677102715079</v>
      </c>
      <c r="I38" s="33">
        <v>238.02986426119219</v>
      </c>
      <c r="J38" s="28">
        <f>I38/SUM($I$31,$I$32,$I$35,$I$38)</f>
        <v>0.19497974820375732</v>
      </c>
      <c r="K38" s="33">
        <v>78.793728389060519</v>
      </c>
      <c r="L38" s="28">
        <f>K38/SUM($K$31,$K$32,$K$35,$K$38)</f>
        <v>0.57731010404371785</v>
      </c>
      <c r="M38" s="27">
        <v>316.82359265025434</v>
      </c>
      <c r="N38" s="28">
        <f>M38/SUM($M$31,$M$32,$M$35,$M$38)</f>
        <v>0.23342589202652583</v>
      </c>
    </row>
    <row r="39" spans="2:14" x14ac:dyDescent="0.2">
      <c r="B39" s="262" t="s">
        <v>150</v>
      </c>
      <c r="C39" s="263"/>
      <c r="D39" s="263"/>
      <c r="E39" s="263"/>
      <c r="F39" s="263"/>
      <c r="G39" s="263"/>
      <c r="H39" s="263"/>
      <c r="I39" s="263"/>
      <c r="J39" s="263"/>
      <c r="K39" s="263"/>
      <c r="L39" s="263"/>
      <c r="M39" s="263"/>
      <c r="N39" s="264"/>
    </row>
    <row r="40" spans="2:14" x14ac:dyDescent="0.2">
      <c r="B40" s="10" t="s">
        <v>0</v>
      </c>
      <c r="C40" s="135">
        <f t="shared" ref="C40:N40" si="26">SUM(C6:C10)</f>
        <v>358593.07773760392</v>
      </c>
      <c r="D40" s="136">
        <f t="shared" si="26"/>
        <v>0.99999999999999967</v>
      </c>
      <c r="E40" s="96">
        <f t="shared" si="26"/>
        <v>22173.555682272687</v>
      </c>
      <c r="F40" s="136">
        <f t="shared" si="26"/>
        <v>0.99999999999999989</v>
      </c>
      <c r="G40" s="96">
        <f t="shared" si="26"/>
        <v>73830.795608758141</v>
      </c>
      <c r="H40" s="136">
        <f t="shared" si="26"/>
        <v>1</v>
      </c>
      <c r="I40" s="96">
        <f t="shared" si="26"/>
        <v>1220.7927564479346</v>
      </c>
      <c r="J40" s="136">
        <f t="shared" si="26"/>
        <v>1</v>
      </c>
      <c r="K40" s="96">
        <f t="shared" si="26"/>
        <v>136.4842358329733</v>
      </c>
      <c r="L40" s="136">
        <f t="shared" si="26"/>
        <v>1</v>
      </c>
      <c r="M40" s="96">
        <f t="shared" si="26"/>
        <v>1357.2769922809168</v>
      </c>
      <c r="N40" s="136">
        <f t="shared" si="26"/>
        <v>1</v>
      </c>
    </row>
    <row r="42" spans="2:14" x14ac:dyDescent="0.2">
      <c r="B42" s="228" t="s">
        <v>33</v>
      </c>
      <c r="C42" s="227"/>
      <c r="D42" s="227"/>
      <c r="E42" s="227"/>
      <c r="F42" s="227"/>
      <c r="G42" s="227"/>
      <c r="H42" s="227"/>
      <c r="I42" s="227"/>
      <c r="J42" s="227"/>
      <c r="K42" s="227"/>
      <c r="L42" s="227"/>
      <c r="M42" s="227"/>
      <c r="N42" s="227"/>
    </row>
    <row r="43" spans="2:14" x14ac:dyDescent="0.2">
      <c r="B43" s="228" t="s">
        <v>678</v>
      </c>
      <c r="C43" s="227"/>
      <c r="D43" s="227"/>
      <c r="E43" s="227"/>
      <c r="F43" s="227"/>
      <c r="G43" s="227"/>
      <c r="H43" s="227"/>
      <c r="I43" s="227"/>
      <c r="J43" s="227"/>
      <c r="K43" s="227"/>
      <c r="L43" s="227"/>
      <c r="M43" s="227"/>
      <c r="N43" s="227"/>
    </row>
    <row r="44" spans="2:14" s="227" customFormat="1" x14ac:dyDescent="0.2">
      <c r="B44" s="228" t="s">
        <v>673</v>
      </c>
    </row>
    <row r="45" spans="2:14" x14ac:dyDescent="0.2">
      <c r="B45" s="228" t="s">
        <v>676</v>
      </c>
      <c r="C45" s="227"/>
      <c r="D45" s="227"/>
      <c r="E45" s="227"/>
      <c r="F45" s="227"/>
      <c r="G45" s="227"/>
      <c r="H45" s="227"/>
      <c r="I45" s="227"/>
      <c r="J45" s="227"/>
      <c r="K45" s="227"/>
      <c r="L45" s="227"/>
      <c r="M45" s="227"/>
      <c r="N45" s="227"/>
    </row>
    <row r="46" spans="2:14" x14ac:dyDescent="0.2">
      <c r="B46" s="228" t="s">
        <v>674</v>
      </c>
      <c r="C46" s="227"/>
      <c r="D46" s="227"/>
      <c r="E46" s="227"/>
      <c r="F46" s="227"/>
      <c r="G46" s="227"/>
      <c r="H46" s="227"/>
      <c r="I46" s="227"/>
      <c r="J46" s="227"/>
      <c r="K46" s="227"/>
      <c r="L46" s="227"/>
      <c r="M46" s="227"/>
      <c r="N46" s="227"/>
    </row>
    <row r="47" spans="2:14" x14ac:dyDescent="0.2">
      <c r="B47" s="228" t="s">
        <v>677</v>
      </c>
      <c r="C47" s="227"/>
      <c r="D47" s="227"/>
      <c r="E47" s="227"/>
      <c r="F47" s="227"/>
      <c r="G47" s="227"/>
      <c r="H47" s="227"/>
      <c r="I47" s="227"/>
      <c r="J47" s="227"/>
      <c r="K47" s="227"/>
      <c r="L47" s="227"/>
      <c r="M47" s="227"/>
      <c r="N47" s="227"/>
    </row>
    <row r="48" spans="2:14" x14ac:dyDescent="0.2">
      <c r="B48" s="228" t="s">
        <v>675</v>
      </c>
      <c r="C48" s="227"/>
      <c r="D48" s="227"/>
      <c r="E48" s="227"/>
      <c r="F48" s="227"/>
      <c r="G48" s="227"/>
      <c r="H48" s="227"/>
      <c r="I48" s="227"/>
      <c r="J48" s="227"/>
      <c r="K48" s="227"/>
      <c r="L48" s="227"/>
      <c r="M48" s="227"/>
      <c r="N48" s="227"/>
    </row>
  </sheetData>
  <mergeCells count="13">
    <mergeCell ref="K3:L3"/>
    <mergeCell ref="M3:N3"/>
    <mergeCell ref="B39:N39"/>
    <mergeCell ref="B5:N5"/>
    <mergeCell ref="B11:N11"/>
    <mergeCell ref="B17:N17"/>
    <mergeCell ref="B23:N23"/>
    <mergeCell ref="B30:N30"/>
    <mergeCell ref="B3:B4"/>
    <mergeCell ref="C3:D3"/>
    <mergeCell ref="E3:F3"/>
    <mergeCell ref="G3:H3"/>
    <mergeCell ref="I3:J3"/>
  </mergeCells>
  <pageMargins left="0.78740157480314965" right="0.78740157480314965" top="0.98425196850393704" bottom="0.98425196850393704" header="0.51181102362204722" footer="0.51181102362204722"/>
  <pageSetup paperSize="9" scale="73" orientation="landscape" r:id="rId1"/>
  <headerFooter alignWithMargins="0"/>
  <colBreaks count="1" manualBreakCount="1">
    <brk id="14" max="42" man="1"/>
  </col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S50"/>
  <sheetViews>
    <sheetView view="pageBreakPreview" zoomScaleNormal="100" zoomScaleSheetLayoutView="100" workbookViewId="0">
      <selection activeCell="J3" sqref="J3:J5"/>
    </sheetView>
  </sheetViews>
  <sheetFormatPr baseColWidth="10" defaultRowHeight="12.75" x14ac:dyDescent="0.2"/>
  <cols>
    <col min="1" max="1" width="2" style="92" customWidth="1"/>
    <col min="2" max="2" width="15.85546875" customWidth="1"/>
    <col min="5" max="5" width="12.28515625" bestFit="1" customWidth="1"/>
    <col min="7" max="7" width="14.28515625" bestFit="1" customWidth="1"/>
    <col min="9" max="11" width="17.7109375" customWidth="1"/>
    <col min="14" max="14" width="8.42578125" customWidth="1"/>
  </cols>
  <sheetData>
    <row r="1" spans="1:19" ht="15.75" x14ac:dyDescent="0.2">
      <c r="A1" s="11"/>
      <c r="B1" s="213" t="str">
        <f>Inhaltsverzeichnis!B60&amp;" "&amp;Inhaltsverzeichnis!C60&amp;" "&amp;Inhaltsverzeichnis!E60</f>
        <v>Tabelle 25: Verteilung der Pflichtigen, des steuerbaren Einkommens und der Einkommenssteuer nach Stufen des steuerbaren Einkommens und Tarifart, 2013</v>
      </c>
      <c r="C1" s="214"/>
      <c r="D1" s="214"/>
      <c r="E1" s="214"/>
      <c r="F1" s="214"/>
      <c r="G1" s="214"/>
      <c r="H1" s="214"/>
      <c r="I1" s="214"/>
      <c r="J1" s="214"/>
      <c r="K1" s="214"/>
      <c r="L1" s="214"/>
      <c r="M1" s="214"/>
      <c r="N1" s="214"/>
      <c r="O1" s="214"/>
      <c r="P1" s="214"/>
      <c r="Q1" s="214"/>
      <c r="R1" s="214"/>
      <c r="S1" s="214"/>
    </row>
    <row r="3" spans="1:19" ht="18.75" customHeight="1" x14ac:dyDescent="0.2">
      <c r="B3" s="252" t="s">
        <v>577</v>
      </c>
      <c r="C3" s="293" t="s">
        <v>441</v>
      </c>
      <c r="D3" s="305"/>
      <c r="E3" s="293" t="s">
        <v>116</v>
      </c>
      <c r="F3" s="308"/>
      <c r="G3" s="235" t="s">
        <v>152</v>
      </c>
      <c r="H3" s="311"/>
      <c r="I3" s="312" t="s">
        <v>618</v>
      </c>
      <c r="J3" s="312" t="s">
        <v>682</v>
      </c>
      <c r="K3" s="312" t="s">
        <v>154</v>
      </c>
    </row>
    <row r="4" spans="1:19" x14ac:dyDescent="0.2">
      <c r="B4" s="279"/>
      <c r="C4" s="306"/>
      <c r="D4" s="307"/>
      <c r="E4" s="309"/>
      <c r="F4" s="310"/>
      <c r="G4" s="295"/>
      <c r="H4" s="296"/>
      <c r="I4" s="313"/>
      <c r="J4" s="313"/>
      <c r="K4" s="313"/>
    </row>
    <row r="5" spans="1:19" ht="20.25" customHeight="1" x14ac:dyDescent="0.2">
      <c r="B5" s="269"/>
      <c r="C5" s="112" t="s">
        <v>1</v>
      </c>
      <c r="D5" s="93" t="s">
        <v>2</v>
      </c>
      <c r="E5" s="93" t="s">
        <v>3</v>
      </c>
      <c r="F5" s="93" t="s">
        <v>2</v>
      </c>
      <c r="G5" s="93" t="s">
        <v>561</v>
      </c>
      <c r="H5" s="93" t="s">
        <v>2</v>
      </c>
      <c r="I5" s="269"/>
      <c r="J5" s="269"/>
      <c r="K5" s="269"/>
    </row>
    <row r="6" spans="1:19" x14ac:dyDescent="0.2">
      <c r="B6" s="303" t="s">
        <v>153</v>
      </c>
      <c r="C6" s="263"/>
      <c r="D6" s="263"/>
      <c r="E6" s="263"/>
      <c r="F6" s="263"/>
      <c r="G6" s="263"/>
      <c r="H6" s="263"/>
      <c r="I6" s="263"/>
      <c r="J6" s="263"/>
      <c r="K6" s="264"/>
    </row>
    <row r="7" spans="1:19" x14ac:dyDescent="0.2">
      <c r="B7" s="25">
        <v>0</v>
      </c>
      <c r="C7" s="141">
        <v>39428.869438464062</v>
      </c>
      <c r="D7" s="28">
        <f>C7/SUM($C$7:$C$18)</f>
        <v>0.18731841572864158</v>
      </c>
      <c r="E7" s="141">
        <v>0</v>
      </c>
      <c r="F7" s="119">
        <f>E7/SUM($E$7:$E$18)</f>
        <v>0</v>
      </c>
      <c r="G7" s="141">
        <v>0</v>
      </c>
      <c r="H7" s="119">
        <f>G7/SUM($G$7:$G$18)</f>
        <v>0</v>
      </c>
      <c r="I7" s="33">
        <f>E7*1000/C7</f>
        <v>0</v>
      </c>
      <c r="J7" s="33">
        <f>G7/C7</f>
        <v>0</v>
      </c>
      <c r="K7" s="33">
        <v>0</v>
      </c>
    </row>
    <row r="8" spans="1:19" x14ac:dyDescent="0.2">
      <c r="B8" s="25" t="s">
        <v>38</v>
      </c>
      <c r="C8" s="141">
        <v>10867.912378367659</v>
      </c>
      <c r="D8" s="28">
        <f t="shared" ref="D8:D18" si="0">C8/SUM($C$7:$C$18)</f>
        <v>5.1631207234351412E-2</v>
      </c>
      <c r="E8" s="141">
        <v>50314.052761504099</v>
      </c>
      <c r="F8" s="28">
        <f t="shared" ref="F8:F18" si="1">E8/SUM($E$7:$E$18)</f>
        <v>5.9590426117354482E-3</v>
      </c>
      <c r="G8" s="141">
        <v>605671.34800704906</v>
      </c>
      <c r="H8" s="28">
        <f t="shared" ref="H8:H18" si="2">G8/SUM($G$7:$G$18)</f>
        <v>1.2522589340330224E-3</v>
      </c>
      <c r="I8" s="33">
        <f t="shared" ref="I8:I17" si="3">E8*1000/C8</f>
        <v>4629.5968360633015</v>
      </c>
      <c r="J8" s="33">
        <f t="shared" ref="J8:J18" si="4">G8/C8</f>
        <v>55.730238423031878</v>
      </c>
      <c r="K8" s="90">
        <f>G8/(E8*1000)</f>
        <v>1.2037816768170496E-2</v>
      </c>
    </row>
    <row r="9" spans="1:19" x14ac:dyDescent="0.2">
      <c r="B9" s="25" t="s">
        <v>39</v>
      </c>
      <c r="C9" s="141">
        <v>11789.092062334337</v>
      </c>
      <c r="D9" s="28">
        <f t="shared" si="0"/>
        <v>5.6007541667966121E-2</v>
      </c>
      <c r="E9" s="141">
        <v>180339.09305783821</v>
      </c>
      <c r="F9" s="28">
        <f t="shared" si="1"/>
        <v>2.1358810930762646E-2</v>
      </c>
      <c r="G9" s="141">
        <v>3424418.0178268366</v>
      </c>
      <c r="H9" s="28">
        <f t="shared" si="2"/>
        <v>7.0801732173690355E-3</v>
      </c>
      <c r="I9" s="33">
        <f t="shared" si="3"/>
        <v>15297.114663648625</v>
      </c>
      <c r="J9" s="33">
        <f t="shared" si="4"/>
        <v>290.47343083931889</v>
      </c>
      <c r="K9" s="90">
        <f t="shared" ref="K9:K18" si="5">G9/(E9*1000)</f>
        <v>1.8988772538234736E-2</v>
      </c>
    </row>
    <row r="10" spans="1:19" s="6" customFormat="1" x14ac:dyDescent="0.2">
      <c r="A10" s="92"/>
      <c r="B10" s="25" t="s">
        <v>40</v>
      </c>
      <c r="C10" s="141">
        <v>19864.033044573192</v>
      </c>
      <c r="D10" s="28">
        <f t="shared" si="0"/>
        <v>9.4369918612502365E-2</v>
      </c>
      <c r="E10" s="141">
        <v>495122.59197059844</v>
      </c>
      <c r="F10" s="28">
        <f t="shared" si="1"/>
        <v>5.8640806328428594E-2</v>
      </c>
      <c r="G10" s="141">
        <v>14373168.011642186</v>
      </c>
      <c r="H10" s="28">
        <f t="shared" si="2"/>
        <v>2.9717318001192785E-2</v>
      </c>
      <c r="I10" s="33">
        <f t="shared" si="3"/>
        <v>24925.582375924652</v>
      </c>
      <c r="J10" s="33">
        <f t="shared" si="4"/>
        <v>723.57753228611864</v>
      </c>
      <c r="K10" s="90">
        <f t="shared" si="5"/>
        <v>2.9029513588617863E-2</v>
      </c>
    </row>
    <row r="11" spans="1:19" s="6" customFormat="1" x14ac:dyDescent="0.2">
      <c r="A11" s="92"/>
      <c r="B11" s="25" t="s">
        <v>41</v>
      </c>
      <c r="C11" s="141">
        <v>59136.019094267423</v>
      </c>
      <c r="D11" s="28">
        <f t="shared" si="0"/>
        <v>0.28094301376114683</v>
      </c>
      <c r="E11" s="141">
        <v>2397717.9233346288</v>
      </c>
      <c r="F11" s="28">
        <f t="shared" si="1"/>
        <v>0.28397838162233846</v>
      </c>
      <c r="G11" s="141">
        <v>109919819.44756295</v>
      </c>
      <c r="H11" s="28">
        <f t="shared" si="2"/>
        <v>0.22726529228010542</v>
      </c>
      <c r="I11" s="33">
        <f t="shared" si="3"/>
        <v>40545.812181108762</v>
      </c>
      <c r="J11" s="33">
        <f t="shared" si="4"/>
        <v>1858.7625804223005</v>
      </c>
      <c r="K11" s="90">
        <f t="shared" si="5"/>
        <v>4.584351577715691E-2</v>
      </c>
    </row>
    <row r="12" spans="1:19" s="6" customFormat="1" x14ac:dyDescent="0.2">
      <c r="A12" s="92"/>
      <c r="B12" s="25" t="s">
        <v>42</v>
      </c>
      <c r="C12" s="141">
        <v>46978.986818493999</v>
      </c>
      <c r="D12" s="28">
        <f t="shared" si="0"/>
        <v>0.2231874641272959</v>
      </c>
      <c r="E12" s="141">
        <v>2825526.0502195773</v>
      </c>
      <c r="F12" s="28">
        <f t="shared" si="1"/>
        <v>0.33464666846932156</v>
      </c>
      <c r="G12" s="141">
        <v>167888107.28641981</v>
      </c>
      <c r="H12" s="28">
        <f t="shared" si="2"/>
        <v>0.34711792618076248</v>
      </c>
      <c r="I12" s="33">
        <f t="shared" si="3"/>
        <v>60144.465463594577</v>
      </c>
      <c r="J12" s="33">
        <f t="shared" si="4"/>
        <v>3573.6851442766338</v>
      </c>
      <c r="K12" s="90">
        <f t="shared" si="5"/>
        <v>5.9418354070164346E-2</v>
      </c>
    </row>
    <row r="13" spans="1:19" s="6" customFormat="1" x14ac:dyDescent="0.2">
      <c r="A13" s="92"/>
      <c r="B13" s="25" t="s">
        <v>43</v>
      </c>
      <c r="C13" s="141">
        <v>13887.748789658608</v>
      </c>
      <c r="D13" s="28">
        <f t="shared" si="0"/>
        <v>6.5977826358329078E-2</v>
      </c>
      <c r="E13" s="141">
        <v>1181776.183602459</v>
      </c>
      <c r="F13" s="28">
        <f t="shared" si="1"/>
        <v>0.13996595879490081</v>
      </c>
      <c r="G13" s="141">
        <v>82640752.953248799</v>
      </c>
      <c r="H13" s="28">
        <f t="shared" si="2"/>
        <v>0.17086431699542315</v>
      </c>
      <c r="I13" s="33">
        <f t="shared" si="3"/>
        <v>85094.870414307778</v>
      </c>
      <c r="J13" s="33">
        <f t="shared" si="4"/>
        <v>5950.622682258374</v>
      </c>
      <c r="K13" s="90">
        <f t="shared" si="5"/>
        <v>6.9929276033750695E-2</v>
      </c>
    </row>
    <row r="14" spans="1:19" x14ac:dyDescent="0.2">
      <c r="B14" s="25" t="s">
        <v>44</v>
      </c>
      <c r="C14" s="141">
        <v>6214.8061432617906</v>
      </c>
      <c r="D14" s="28">
        <f t="shared" si="0"/>
        <v>2.952526048542407E-2</v>
      </c>
      <c r="E14" s="141">
        <v>726780.96883613965</v>
      </c>
      <c r="F14" s="28">
        <f t="shared" si="1"/>
        <v>8.607771636330136E-2</v>
      </c>
      <c r="G14" s="141">
        <v>56260817.379748426</v>
      </c>
      <c r="H14" s="28">
        <f t="shared" si="2"/>
        <v>0.11632234450517599</v>
      </c>
      <c r="I14" s="33">
        <f t="shared" si="3"/>
        <v>116943.46566612207</v>
      </c>
      <c r="J14" s="33">
        <f t="shared" si="4"/>
        <v>9052.7067269423133</v>
      </c>
      <c r="K14" s="90">
        <f t="shared" si="5"/>
        <v>7.7410966704100664E-2</v>
      </c>
    </row>
    <row r="15" spans="1:19" x14ac:dyDescent="0.2">
      <c r="B15" s="25" t="s">
        <v>45</v>
      </c>
      <c r="C15" s="141">
        <v>1749.7123947642015</v>
      </c>
      <c r="D15" s="28">
        <f t="shared" si="0"/>
        <v>8.3125222314455807E-3</v>
      </c>
      <c r="E15" s="141">
        <v>322161.63227021013</v>
      </c>
      <c r="F15" s="28">
        <f t="shared" si="1"/>
        <v>3.8155838959434245E-2</v>
      </c>
      <c r="G15" s="141">
        <v>27096342.422521919</v>
      </c>
      <c r="H15" s="28">
        <f t="shared" si="2"/>
        <v>5.6023183183210687E-2</v>
      </c>
      <c r="I15" s="33">
        <f t="shared" si="3"/>
        <v>184122.62108575049</v>
      </c>
      <c r="J15" s="33">
        <f t="shared" si="4"/>
        <v>15486.169329087672</v>
      </c>
      <c r="K15" s="90">
        <f t="shared" si="5"/>
        <v>8.4107912638694063E-2</v>
      </c>
    </row>
    <row r="16" spans="1:19" x14ac:dyDescent="0.2">
      <c r="B16" s="25" t="s">
        <v>46</v>
      </c>
      <c r="C16" s="141">
        <v>459.79046140065577</v>
      </c>
      <c r="D16" s="28">
        <f t="shared" si="0"/>
        <v>2.1843695247496051E-3</v>
      </c>
      <c r="E16" s="141">
        <v>148601.14848182831</v>
      </c>
      <c r="F16" s="28">
        <f t="shared" si="1"/>
        <v>1.7599865790051482E-2</v>
      </c>
      <c r="G16" s="141">
        <v>12925536.088474015</v>
      </c>
      <c r="H16" s="28">
        <f t="shared" si="2"/>
        <v>2.672425911712345E-2</v>
      </c>
      <c r="I16" s="33">
        <f t="shared" si="3"/>
        <v>323193.1955028947</v>
      </c>
      <c r="J16" s="33">
        <f t="shared" si="4"/>
        <v>28111.796945719718</v>
      </c>
      <c r="K16" s="90">
        <f t="shared" si="5"/>
        <v>8.6981401022311847E-2</v>
      </c>
    </row>
    <row r="17" spans="1:11" x14ac:dyDescent="0.2">
      <c r="B17" s="25" t="s">
        <v>47</v>
      </c>
      <c r="C17" s="141">
        <v>87.429826986216455</v>
      </c>
      <c r="D17" s="28">
        <f t="shared" si="0"/>
        <v>4.1536105173005107E-4</v>
      </c>
      <c r="E17" s="141">
        <v>55668.874511804082</v>
      </c>
      <c r="F17" s="28">
        <f t="shared" si="1"/>
        <v>6.5932513315048848E-3</v>
      </c>
      <c r="G17" s="141">
        <v>4874478.5522575099</v>
      </c>
      <c r="H17" s="28">
        <f t="shared" si="2"/>
        <v>1.0078253389238708E-2</v>
      </c>
      <c r="I17" s="137">
        <f t="shared" si="3"/>
        <v>636726.34878461366</v>
      </c>
      <c r="J17" s="137">
        <f t="shared" si="4"/>
        <v>55753.038983206323</v>
      </c>
      <c r="K17" s="90">
        <f t="shared" si="5"/>
        <v>8.7562010099987223E-2</v>
      </c>
    </row>
    <row r="18" spans="1:11" x14ac:dyDescent="0.2">
      <c r="B18" s="101" t="s">
        <v>48</v>
      </c>
      <c r="C18" s="141">
        <v>26.753260699734593</v>
      </c>
      <c r="D18" s="28">
        <f t="shared" si="0"/>
        <v>1.2709921641732038E-4</v>
      </c>
      <c r="E18" s="141">
        <v>59302.938807069593</v>
      </c>
      <c r="F18" s="28">
        <f t="shared" si="1"/>
        <v>7.0236587982204753E-3</v>
      </c>
      <c r="G18" s="141">
        <v>3653916.5981673351</v>
      </c>
      <c r="H18" s="28">
        <f t="shared" si="2"/>
        <v>7.5546741963652218E-3</v>
      </c>
      <c r="I18" s="137">
        <f>E18*1000/C18</f>
        <v>2216662.0911243879</v>
      </c>
      <c r="J18" s="137">
        <f t="shared" si="4"/>
        <v>136578.36475250975</v>
      </c>
      <c r="K18" s="90">
        <f t="shared" si="5"/>
        <v>6.1614427070041701E-2</v>
      </c>
    </row>
    <row r="19" spans="1:11" s="6" customFormat="1" x14ac:dyDescent="0.2">
      <c r="A19" s="92"/>
      <c r="B19" s="120" t="s">
        <v>0</v>
      </c>
      <c r="C19" s="31">
        <f>SUM(C7:C18)</f>
        <v>210491.15371327189</v>
      </c>
      <c r="D19" s="29">
        <f>SUM(D7:D18)</f>
        <v>0.99999999999999989</v>
      </c>
      <c r="E19" s="31">
        <f t="shared" ref="E19:H19" si="6">SUM(E7:E18)</f>
        <v>8443311.4578536581</v>
      </c>
      <c r="F19" s="29">
        <f t="shared" si="6"/>
        <v>0.99999999999999989</v>
      </c>
      <c r="G19" s="31">
        <f t="shared" si="6"/>
        <v>483663028.10587686</v>
      </c>
      <c r="H19" s="29">
        <f t="shared" si="6"/>
        <v>1</v>
      </c>
      <c r="I19" s="31">
        <f>E19/C19*1000</f>
        <v>40112.4289971588</v>
      </c>
      <c r="J19" s="31">
        <f>G19/C19</f>
        <v>2297.7831589289299</v>
      </c>
      <c r="K19" s="121">
        <f>G19/(E19*1000)</f>
        <v>5.7283570613280092E-2</v>
      </c>
    </row>
    <row r="20" spans="1:11" x14ac:dyDescent="0.2">
      <c r="B20" s="303" t="s">
        <v>155</v>
      </c>
      <c r="C20" s="263"/>
      <c r="D20" s="263"/>
      <c r="E20" s="263"/>
      <c r="F20" s="263"/>
      <c r="G20" s="263"/>
      <c r="H20" s="263"/>
      <c r="I20" s="263"/>
      <c r="J20" s="263"/>
      <c r="K20" s="264"/>
    </row>
    <row r="21" spans="1:11" x14ac:dyDescent="0.2">
      <c r="B21" s="25">
        <v>0</v>
      </c>
      <c r="C21" s="141">
        <v>7056.2593720298682</v>
      </c>
      <c r="D21" s="123">
        <f>C21/SUM($C$21:$C$32)</f>
        <v>4.393662633279153E-2</v>
      </c>
      <c r="E21" s="141">
        <v>0</v>
      </c>
      <c r="F21" s="122">
        <f>E21/SUM($E$21:$E$32)</f>
        <v>0</v>
      </c>
      <c r="G21" s="141">
        <v>0</v>
      </c>
      <c r="H21" s="122">
        <f>G21/SUM($G$21:$G$32)</f>
        <v>0</v>
      </c>
      <c r="I21" s="27">
        <f>(E21*1000)/C21</f>
        <v>0</v>
      </c>
      <c r="J21" s="27">
        <f>G21/C21</f>
        <v>0</v>
      </c>
      <c r="K21" s="122">
        <v>0</v>
      </c>
    </row>
    <row r="22" spans="1:11" x14ac:dyDescent="0.2">
      <c r="B22" s="25" t="s">
        <v>38</v>
      </c>
      <c r="C22" s="141">
        <v>3521.3063362886387</v>
      </c>
      <c r="D22" s="123">
        <f t="shared" ref="D22:D32" si="7">C22/SUM($C$21:$C$32)</f>
        <v>2.1925826779281007E-2</v>
      </c>
      <c r="E22" s="141">
        <v>16475.444293532666</v>
      </c>
      <c r="F22" s="123">
        <f t="shared" ref="F22:F32" si="8">E22/SUM($E$21:$E$32)</f>
        <v>1.182784559596005E-3</v>
      </c>
      <c r="G22" s="141">
        <v>413048.09778484103</v>
      </c>
      <c r="H22" s="123">
        <f t="shared" ref="H22:H32" si="9">G22/SUM($G$21:$G$32)</f>
        <v>5.499211372788931E-4</v>
      </c>
      <c r="I22" s="27">
        <f t="shared" ref="I22:I32" si="10">(E22*1000)/C22</f>
        <v>4678.787563508984</v>
      </c>
      <c r="J22" s="27">
        <f t="shared" ref="J22:J32" si="11">G22/C22</f>
        <v>117.2996775452892</v>
      </c>
      <c r="K22" s="124">
        <f t="shared" ref="K22:K32" si="12">G22/(E22*1000)</f>
        <v>2.5070528625864161E-2</v>
      </c>
    </row>
    <row r="23" spans="1:11" x14ac:dyDescent="0.2">
      <c r="B23" s="25" t="s">
        <v>39</v>
      </c>
      <c r="C23" s="141">
        <v>3198.6715379324796</v>
      </c>
      <c r="D23" s="123">
        <f t="shared" si="7"/>
        <v>1.9916903378091991E-2</v>
      </c>
      <c r="E23" s="141">
        <v>48093.342900637945</v>
      </c>
      <c r="F23" s="123">
        <f t="shared" si="8"/>
        <v>3.4526573237578903E-3</v>
      </c>
      <c r="G23" s="141">
        <v>945473.55698097206</v>
      </c>
      <c r="H23" s="123">
        <f t="shared" si="9"/>
        <v>1.2587780854348199E-3</v>
      </c>
      <c r="I23" s="27">
        <f t="shared" si="10"/>
        <v>15035.41152328631</v>
      </c>
      <c r="J23" s="27">
        <f t="shared" si="11"/>
        <v>295.58319626406416</v>
      </c>
      <c r="K23" s="124">
        <f t="shared" si="12"/>
        <v>1.9659135754699859E-2</v>
      </c>
    </row>
    <row r="24" spans="1:11" x14ac:dyDescent="0.2">
      <c r="B24" s="25" t="s">
        <v>40</v>
      </c>
      <c r="C24" s="141">
        <v>4620.4144184496354</v>
      </c>
      <c r="D24" s="123">
        <f t="shared" si="7"/>
        <v>2.876955212428161E-2</v>
      </c>
      <c r="E24" s="141">
        <v>116336.63771404242</v>
      </c>
      <c r="F24" s="123">
        <f t="shared" si="8"/>
        <v>8.3518948777301337E-3</v>
      </c>
      <c r="G24" s="141">
        <v>1852940.7800449033</v>
      </c>
      <c r="H24" s="123">
        <f t="shared" si="9"/>
        <v>2.4669555592615757E-3</v>
      </c>
      <c r="I24" s="27">
        <f t="shared" si="10"/>
        <v>25178.831848827704</v>
      </c>
      <c r="J24" s="27">
        <f t="shared" si="11"/>
        <v>401.03345982256099</v>
      </c>
      <c r="K24" s="124">
        <f t="shared" si="12"/>
        <v>1.5927405299433407E-2</v>
      </c>
    </row>
    <row r="25" spans="1:11" x14ac:dyDescent="0.2">
      <c r="B25" s="25" t="s">
        <v>41</v>
      </c>
      <c r="C25" s="141">
        <v>22611.345826032979</v>
      </c>
      <c r="D25" s="123">
        <f t="shared" si="7"/>
        <v>0.1407921959867168</v>
      </c>
      <c r="E25" s="141">
        <v>937881.86762049317</v>
      </c>
      <c r="F25" s="123">
        <f t="shared" si="8"/>
        <v>6.7331245942911372E-2</v>
      </c>
      <c r="G25" s="141">
        <v>22633339.413003039</v>
      </c>
      <c r="H25" s="123">
        <f t="shared" si="9"/>
        <v>3.0133419853930185E-2</v>
      </c>
      <c r="I25" s="27">
        <f t="shared" si="10"/>
        <v>41478.374389404431</v>
      </c>
      <c r="J25" s="27">
        <f t="shared" si="11"/>
        <v>1000.972679253118</v>
      </c>
      <c r="K25" s="124">
        <f t="shared" si="12"/>
        <v>2.4132398966648375E-2</v>
      </c>
    </row>
    <row r="26" spans="1:11" x14ac:dyDescent="0.2">
      <c r="B26" s="25" t="s">
        <v>42</v>
      </c>
      <c r="C26" s="141">
        <v>41610.056693765713</v>
      </c>
      <c r="D26" s="123">
        <f t="shared" si="7"/>
        <v>0.25908989682083311</v>
      </c>
      <c r="E26" s="141">
        <v>2610556.5356915565</v>
      </c>
      <c r="F26" s="123">
        <f t="shared" si="8"/>
        <v>0.18741382067495915</v>
      </c>
      <c r="G26" s="141">
        <v>95724254.715362042</v>
      </c>
      <c r="H26" s="123">
        <f t="shared" si="9"/>
        <v>0.12744470026749091</v>
      </c>
      <c r="I26" s="27">
        <f t="shared" si="10"/>
        <v>62738.595981838371</v>
      </c>
      <c r="J26" s="27">
        <f t="shared" si="11"/>
        <v>2300.5076734179038</v>
      </c>
      <c r="K26" s="124">
        <f t="shared" si="12"/>
        <v>3.6668140837640952E-2</v>
      </c>
    </row>
    <row r="27" spans="1:11" x14ac:dyDescent="0.2">
      <c r="B27" s="25" t="s">
        <v>43</v>
      </c>
      <c r="C27" s="141">
        <v>34444.9553275566</v>
      </c>
      <c r="D27" s="123">
        <f t="shared" si="7"/>
        <v>0.21447555304946139</v>
      </c>
      <c r="E27" s="141">
        <v>2980511.4819506984</v>
      </c>
      <c r="F27" s="123">
        <f t="shared" si="8"/>
        <v>0.21397316501708721</v>
      </c>
      <c r="G27" s="141">
        <v>143254619.83847266</v>
      </c>
      <c r="H27" s="123">
        <f t="shared" si="9"/>
        <v>0.19072535107779298</v>
      </c>
      <c r="I27" s="27">
        <f t="shared" si="10"/>
        <v>86529.695091990274</v>
      </c>
      <c r="J27" s="27">
        <f t="shared" si="11"/>
        <v>4158.9434062603159</v>
      </c>
      <c r="K27" s="124">
        <f t="shared" si="12"/>
        <v>4.8063770499120757E-2</v>
      </c>
    </row>
    <row r="28" spans="1:11" x14ac:dyDescent="0.2">
      <c r="B28" s="25" t="s">
        <v>44</v>
      </c>
      <c r="C28" s="141">
        <v>28926.886268072431</v>
      </c>
      <c r="D28" s="123">
        <f t="shared" si="7"/>
        <v>0.18011664905195282</v>
      </c>
      <c r="E28" s="141">
        <v>3455226.6325035426</v>
      </c>
      <c r="F28" s="123">
        <f t="shared" si="8"/>
        <v>0.24805332335919666</v>
      </c>
      <c r="G28" s="141">
        <v>204550955.13609657</v>
      </c>
      <c r="H28" s="123">
        <f t="shared" si="9"/>
        <v>0.2723336446365166</v>
      </c>
      <c r="I28" s="27">
        <f t="shared" si="10"/>
        <v>119446.89105087648</v>
      </c>
      <c r="J28" s="27">
        <f t="shared" si="11"/>
        <v>7071.3091357456706</v>
      </c>
      <c r="K28" s="124">
        <f t="shared" si="12"/>
        <v>5.9200445265115864E-2</v>
      </c>
    </row>
    <row r="29" spans="1:11" x14ac:dyDescent="0.2">
      <c r="B29" s="25" t="s">
        <v>45</v>
      </c>
      <c r="C29" s="141">
        <v>10843.677453534634</v>
      </c>
      <c r="D29" s="123">
        <f t="shared" si="7"/>
        <v>6.7519429095505609E-2</v>
      </c>
      <c r="E29" s="141">
        <v>1991816.7176079785</v>
      </c>
      <c r="F29" s="123">
        <f t="shared" si="8"/>
        <v>0.14299402293246216</v>
      </c>
      <c r="G29" s="141">
        <v>141608458.9674269</v>
      </c>
      <c r="H29" s="123">
        <f t="shared" si="9"/>
        <v>0.18853369673244103</v>
      </c>
      <c r="I29" s="27">
        <f t="shared" si="10"/>
        <v>183684.6149420205</v>
      </c>
      <c r="J29" s="27">
        <f t="shared" si="11"/>
        <v>13059.080701562903</v>
      </c>
      <c r="K29" s="124">
        <f t="shared" si="12"/>
        <v>7.1095125226927486E-2</v>
      </c>
    </row>
    <row r="30" spans="1:11" x14ac:dyDescent="0.2">
      <c r="B30" s="25" t="s">
        <v>46</v>
      </c>
      <c r="C30" s="141">
        <v>3018.0335524344787</v>
      </c>
      <c r="D30" s="123">
        <f t="shared" si="7"/>
        <v>1.8792139781420126E-2</v>
      </c>
      <c r="E30" s="141">
        <v>985585.27911420679</v>
      </c>
      <c r="F30" s="123">
        <f t="shared" si="8"/>
        <v>7.0755909797164299E-2</v>
      </c>
      <c r="G30" s="141">
        <v>78975203.586719796</v>
      </c>
      <c r="H30" s="123">
        <f t="shared" si="9"/>
        <v>0.10514546370302874</v>
      </c>
      <c r="I30" s="27">
        <f t="shared" si="10"/>
        <v>326565.38172651868</v>
      </c>
      <c r="J30" s="27">
        <f t="shared" si="11"/>
        <v>26167.768586606642</v>
      </c>
      <c r="K30" s="124">
        <f t="shared" si="12"/>
        <v>8.0130258903317458E-2</v>
      </c>
    </row>
    <row r="31" spans="1:11" x14ac:dyDescent="0.2">
      <c r="B31" s="25" t="s">
        <v>47</v>
      </c>
      <c r="C31" s="141">
        <v>583.82429556223133</v>
      </c>
      <c r="D31" s="123">
        <f t="shared" si="7"/>
        <v>3.6352504302494082E-3</v>
      </c>
      <c r="E31" s="141">
        <v>377501.13644443528</v>
      </c>
      <c r="F31" s="123">
        <f t="shared" si="8"/>
        <v>2.7101091021362898E-2</v>
      </c>
      <c r="G31" s="141">
        <v>31431644.827836558</v>
      </c>
      <c r="H31" s="123">
        <f t="shared" si="9"/>
        <v>4.1847247240620215E-2</v>
      </c>
      <c r="I31" s="27">
        <f t="shared" si="10"/>
        <v>646600.59424367768</v>
      </c>
      <c r="J31" s="27">
        <f t="shared" si="11"/>
        <v>53837.507391787156</v>
      </c>
      <c r="K31" s="124">
        <f t="shared" si="12"/>
        <v>8.3262384648378429E-2</v>
      </c>
    </row>
    <row r="32" spans="1:11" x14ac:dyDescent="0.2">
      <c r="B32" s="101" t="s">
        <v>48</v>
      </c>
      <c r="C32" s="141">
        <v>165.41520506398871</v>
      </c>
      <c r="D32" s="123">
        <f t="shared" si="7"/>
        <v>1.0299771694145985E-3</v>
      </c>
      <c r="E32" s="141">
        <v>409385.37447999109</v>
      </c>
      <c r="F32" s="123">
        <f t="shared" si="8"/>
        <v>2.9390084493772183E-2</v>
      </c>
      <c r="G32" s="141">
        <v>29714300.91487065</v>
      </c>
      <c r="H32" s="123">
        <f t="shared" si="9"/>
        <v>3.9560821706204265E-2</v>
      </c>
      <c r="I32" s="27">
        <f t="shared" si="10"/>
        <v>2474895.6682768413</v>
      </c>
      <c r="J32" s="27">
        <f t="shared" si="11"/>
        <v>179634.64062070992</v>
      </c>
      <c r="K32" s="124">
        <f t="shared" si="12"/>
        <v>7.2582712444513461E-2</v>
      </c>
    </row>
    <row r="33" spans="2:11" x14ac:dyDescent="0.2">
      <c r="B33" s="120" t="s">
        <v>0</v>
      </c>
      <c r="C33" s="31">
        <f>SUM(C21:C32)</f>
        <v>160600.84628672368</v>
      </c>
      <c r="D33" s="29">
        <f>SUM(D21:D32)</f>
        <v>0.99999999999999989</v>
      </c>
      <c r="E33" s="31">
        <f t="shared" ref="E33" si="13">SUM(E21:E32)</f>
        <v>13929370.450321116</v>
      </c>
      <c r="F33" s="29">
        <f t="shared" ref="F33" si="14">SUM(F21:F32)</f>
        <v>1</v>
      </c>
      <c r="G33" s="31">
        <f t="shared" ref="G33" si="15">SUM(G21:G32)</f>
        <v>751104239.83459878</v>
      </c>
      <c r="H33" s="29">
        <f t="shared" ref="H33" si="16">SUM(H21:H32)</f>
        <v>1.0000000000000002</v>
      </c>
      <c r="I33" s="31">
        <f>E33/C33*1000</f>
        <v>86732.858340315026</v>
      </c>
      <c r="J33" s="31">
        <f>G33/C33</f>
        <v>4676.8386169873502</v>
      </c>
      <c r="K33" s="121">
        <f>G33/(E33*1000)</f>
        <v>5.3922339312706229E-2</v>
      </c>
    </row>
    <row r="34" spans="2:11" x14ac:dyDescent="0.2">
      <c r="B34" s="303" t="s">
        <v>461</v>
      </c>
      <c r="C34" s="263"/>
      <c r="D34" s="263"/>
      <c r="E34" s="263"/>
      <c r="F34" s="263"/>
      <c r="G34" s="263"/>
      <c r="H34" s="263"/>
      <c r="I34" s="263"/>
      <c r="J34" s="263"/>
      <c r="K34" s="264"/>
    </row>
    <row r="35" spans="2:11" x14ac:dyDescent="0.2">
      <c r="B35" s="25">
        <v>0</v>
      </c>
      <c r="C35" s="141">
        <v>46485.128810501556</v>
      </c>
      <c r="D35" s="123">
        <f>C35/SUM($C$35:$C$46)</f>
        <v>0.12526577994271068</v>
      </c>
      <c r="E35" s="141">
        <v>0</v>
      </c>
      <c r="F35" s="122">
        <v>0</v>
      </c>
      <c r="G35" s="141">
        <v>0</v>
      </c>
      <c r="H35" s="122">
        <f>G35/SUM($G$35:$G$46)</f>
        <v>0</v>
      </c>
      <c r="I35" s="27">
        <f>(E35*1000)/C35</f>
        <v>0</v>
      </c>
      <c r="J35" s="27">
        <f>G35/C35</f>
        <v>0</v>
      </c>
      <c r="K35" s="122">
        <v>0</v>
      </c>
    </row>
    <row r="36" spans="2:11" x14ac:dyDescent="0.2">
      <c r="B36" s="25" t="s">
        <v>38</v>
      </c>
      <c r="C36" s="141">
        <v>14389.21871465713</v>
      </c>
      <c r="D36" s="123">
        <f t="shared" ref="D36:D46" si="17">C36/SUM($C$35:$C$46)</f>
        <v>3.8775340655839444E-2</v>
      </c>
      <c r="E36" s="141">
        <v>66789.497055036423</v>
      </c>
      <c r="F36" s="123">
        <f t="shared" ref="F36:F46" si="18">E36/SUM($E$35:$E$46)</f>
        <v>2.9853147391610785E-3</v>
      </c>
      <c r="G36" s="141">
        <v>1018719.4457918921</v>
      </c>
      <c r="H36" s="123">
        <f t="shared" ref="H36:H46" si="19">G36/SUM($G$35:$G$46)</f>
        <v>8.2502951952318621E-4</v>
      </c>
      <c r="I36" s="27">
        <f t="shared" ref="I36:I46" si="20">(E36*1000)/C36</f>
        <v>4641.6347113414422</v>
      </c>
      <c r="J36" s="27">
        <f t="shared" ref="J36:J46" si="21">G36/C36</f>
        <v>70.797412006407626</v>
      </c>
      <c r="K36" s="124">
        <f t="shared" ref="K36:K46" si="22">G36/(E36*1000)</f>
        <v>1.5252689280657985E-2</v>
      </c>
    </row>
    <row r="37" spans="2:11" x14ac:dyDescent="0.2">
      <c r="B37" s="25" t="s">
        <v>39</v>
      </c>
      <c r="C37" s="141">
        <v>14987.763600267672</v>
      </c>
      <c r="D37" s="123">
        <f t="shared" si="17"/>
        <v>4.0388269216979342E-2</v>
      </c>
      <c r="E37" s="141">
        <v>228432.43595847499</v>
      </c>
      <c r="F37" s="123">
        <f t="shared" si="18"/>
        <v>1.0210328689964E-2</v>
      </c>
      <c r="G37" s="141">
        <v>4369891.5748078031</v>
      </c>
      <c r="H37" s="123">
        <f t="shared" si="19"/>
        <v>3.5390406664217184E-3</v>
      </c>
      <c r="I37" s="27">
        <f t="shared" si="20"/>
        <v>15241.262275740413</v>
      </c>
      <c r="J37" s="27">
        <f t="shared" si="21"/>
        <v>291.56395119080742</v>
      </c>
      <c r="K37" s="124">
        <f t="shared" si="22"/>
        <v>1.9129908397081459E-2</v>
      </c>
    </row>
    <row r="38" spans="2:11" x14ac:dyDescent="0.2">
      <c r="B38" s="25" t="s">
        <v>40</v>
      </c>
      <c r="C38" s="141">
        <v>24484.447463024804</v>
      </c>
      <c r="D38" s="123">
        <f t="shared" si="17"/>
        <v>6.5979453782415667E-2</v>
      </c>
      <c r="E38" s="141">
        <v>611459.22968464193</v>
      </c>
      <c r="F38" s="123">
        <f t="shared" si="18"/>
        <v>2.7330618304693344E-2</v>
      </c>
      <c r="G38" s="141">
        <v>16226108.791687062</v>
      </c>
      <c r="H38" s="123">
        <f t="shared" si="19"/>
        <v>1.3141026015980533E-2</v>
      </c>
      <c r="I38" s="27">
        <f t="shared" si="20"/>
        <v>24973.37261165633</v>
      </c>
      <c r="J38" s="27">
        <f t="shared" si="21"/>
        <v>662.71084190039107</v>
      </c>
      <c r="K38" s="124">
        <f t="shared" si="22"/>
        <v>2.6536697794316756E-2</v>
      </c>
    </row>
    <row r="39" spans="2:11" x14ac:dyDescent="0.2">
      <c r="B39" s="25" t="s">
        <v>41</v>
      </c>
      <c r="C39" s="141">
        <v>81747.364920332548</v>
      </c>
      <c r="D39" s="123">
        <f t="shared" si="17"/>
        <v>0.22028867483085193</v>
      </c>
      <c r="E39" s="141">
        <v>3335599.790955191</v>
      </c>
      <c r="F39" s="123">
        <f t="shared" si="18"/>
        <v>0.14909253189428306</v>
      </c>
      <c r="G39" s="141">
        <v>132553158.86056699</v>
      </c>
      <c r="H39" s="123">
        <f t="shared" si="19"/>
        <v>0.10735072292745326</v>
      </c>
      <c r="I39" s="27">
        <f t="shared" si="20"/>
        <v>40803.759169557605</v>
      </c>
      <c r="J39" s="27">
        <f t="shared" si="21"/>
        <v>1621.4976346913147</v>
      </c>
      <c r="K39" s="124">
        <f t="shared" si="22"/>
        <v>3.9738927679512988E-2</v>
      </c>
    </row>
    <row r="40" spans="2:11" x14ac:dyDescent="0.2">
      <c r="B40" s="25" t="s">
        <v>42</v>
      </c>
      <c r="C40" s="141">
        <v>88589.043512234741</v>
      </c>
      <c r="D40" s="123">
        <f t="shared" si="17"/>
        <v>0.23872528513746599</v>
      </c>
      <c r="E40" s="141">
        <v>5436082.5859110337</v>
      </c>
      <c r="F40" s="123">
        <f t="shared" si="18"/>
        <v>0.24297858469639927</v>
      </c>
      <c r="G40" s="141">
        <v>263612362.00178376</v>
      </c>
      <c r="H40" s="123">
        <f t="shared" si="19"/>
        <v>0.21349153710680532</v>
      </c>
      <c r="I40" s="27">
        <f t="shared" si="20"/>
        <v>61362.922212387071</v>
      </c>
      <c r="J40" s="27">
        <f t="shared" si="21"/>
        <v>2975.6768055112493</v>
      </c>
      <c r="K40" s="124">
        <f t="shared" si="22"/>
        <v>4.8493075268025002E-2</v>
      </c>
    </row>
    <row r="41" spans="2:11" x14ac:dyDescent="0.2">
      <c r="B41" s="25" t="s">
        <v>43</v>
      </c>
      <c r="C41" s="141">
        <v>48332.704117212255</v>
      </c>
      <c r="D41" s="123">
        <f t="shared" si="17"/>
        <v>0.13024453266901753</v>
      </c>
      <c r="E41" s="141">
        <v>4162287.6655531628</v>
      </c>
      <c r="F41" s="123">
        <f t="shared" si="18"/>
        <v>0.18604330417947385</v>
      </c>
      <c r="G41" s="141">
        <v>225895372.79172215</v>
      </c>
      <c r="H41" s="123">
        <f t="shared" si="19"/>
        <v>0.18294570860183423</v>
      </c>
      <c r="I41" s="27">
        <f t="shared" si="20"/>
        <v>86117.417628013238</v>
      </c>
      <c r="J41" s="27">
        <f t="shared" si="21"/>
        <v>4673.7582123255588</v>
      </c>
      <c r="K41" s="124">
        <f t="shared" si="22"/>
        <v>5.4271927109031504E-2</v>
      </c>
    </row>
    <row r="42" spans="2:11" x14ac:dyDescent="0.2">
      <c r="B42" s="25" t="s">
        <v>44</v>
      </c>
      <c r="C42" s="141">
        <v>35141.69241133269</v>
      </c>
      <c r="D42" s="123">
        <f t="shared" si="17"/>
        <v>9.4698059810860422E-2</v>
      </c>
      <c r="E42" s="141">
        <v>4182007.6013396694</v>
      </c>
      <c r="F42" s="123">
        <f t="shared" si="18"/>
        <v>0.18692473340943583</v>
      </c>
      <c r="G42" s="141">
        <v>260811772.51584625</v>
      </c>
      <c r="H42" s="123">
        <f t="shared" si="19"/>
        <v>0.21122342589374349</v>
      </c>
      <c r="I42" s="27">
        <f t="shared" si="20"/>
        <v>119004.16042543904</v>
      </c>
      <c r="J42" s="27">
        <f t="shared" si="21"/>
        <v>7421.7191779795503</v>
      </c>
      <c r="K42" s="124">
        <f t="shared" si="22"/>
        <v>6.2365207665403932E-2</v>
      </c>
    </row>
    <row r="43" spans="2:11" x14ac:dyDescent="0.2">
      <c r="B43" s="25" t="s">
        <v>45</v>
      </c>
      <c r="C43" s="141">
        <v>12593.389848298528</v>
      </c>
      <c r="D43" s="123">
        <f t="shared" si="17"/>
        <v>3.3936031626384332E-2</v>
      </c>
      <c r="E43" s="141">
        <v>2313978.3498781836</v>
      </c>
      <c r="F43" s="123">
        <f t="shared" si="18"/>
        <v>0.10342874222123015</v>
      </c>
      <c r="G43" s="141">
        <v>168704801.38994905</v>
      </c>
      <c r="H43" s="123">
        <f t="shared" si="19"/>
        <v>0.13662882534239731</v>
      </c>
      <c r="I43" s="27">
        <f t="shared" si="20"/>
        <v>183745.47105685141</v>
      </c>
      <c r="J43" s="27">
        <f t="shared" si="21"/>
        <v>13396.297853253744</v>
      </c>
      <c r="K43" s="124">
        <f t="shared" si="22"/>
        <v>7.2906819287583358E-2</v>
      </c>
    </row>
    <row r="44" spans="2:11" x14ac:dyDescent="0.2">
      <c r="B44" s="25" t="s">
        <v>46</v>
      </c>
      <c r="C44" s="141">
        <v>3477.8240138351507</v>
      </c>
      <c r="D44" s="123">
        <f t="shared" si="17"/>
        <v>9.3718646961806346E-3</v>
      </c>
      <c r="E44" s="141">
        <v>1134186.4275960361</v>
      </c>
      <c r="F44" s="123">
        <f t="shared" si="18"/>
        <v>5.0695148317538852E-2</v>
      </c>
      <c r="G44" s="141">
        <v>91900739.675193787</v>
      </c>
      <c r="H44" s="123">
        <f t="shared" si="19"/>
        <v>7.4427580047921757E-2</v>
      </c>
      <c r="I44" s="27">
        <f t="shared" si="20"/>
        <v>326119.55725307635</v>
      </c>
      <c r="J44" s="27">
        <f t="shared" si="21"/>
        <v>26424.78150406776</v>
      </c>
      <c r="K44" s="124">
        <f t="shared" si="22"/>
        <v>8.1027895801911429E-2</v>
      </c>
    </row>
    <row r="45" spans="2:11" x14ac:dyDescent="0.2">
      <c r="B45" s="25" t="s">
        <v>47</v>
      </c>
      <c r="C45" s="141">
        <v>671.25412254844684</v>
      </c>
      <c r="D45" s="123">
        <f t="shared" si="17"/>
        <v>1.8088617446574706E-3</v>
      </c>
      <c r="E45" s="141">
        <v>433170.01095623919</v>
      </c>
      <c r="F45" s="123">
        <f t="shared" si="18"/>
        <v>1.9361559456041955E-2</v>
      </c>
      <c r="G45" s="141">
        <v>36306123.380094059</v>
      </c>
      <c r="H45" s="123">
        <f t="shared" si="19"/>
        <v>2.9403211700493599E-2</v>
      </c>
      <c r="I45" s="27">
        <f t="shared" si="20"/>
        <v>645314.4888134012</v>
      </c>
      <c r="J45" s="27">
        <f t="shared" si="21"/>
        <v>54087.002463770659</v>
      </c>
      <c r="K45" s="124">
        <f t="shared" si="22"/>
        <v>8.3814951316567188E-2</v>
      </c>
    </row>
    <row r="46" spans="2:11" x14ac:dyDescent="0.2">
      <c r="B46" s="101" t="s">
        <v>48</v>
      </c>
      <c r="C46" s="141">
        <v>192.16846576372342</v>
      </c>
      <c r="D46" s="123">
        <f t="shared" si="17"/>
        <v>5.1784588663651774E-4</v>
      </c>
      <c r="E46" s="141">
        <v>468688.31328706065</v>
      </c>
      <c r="F46" s="123">
        <f t="shared" si="18"/>
        <v>2.0949134091778558E-2</v>
      </c>
      <c r="G46" s="141">
        <v>33368217.51303798</v>
      </c>
      <c r="H46" s="123">
        <f t="shared" si="19"/>
        <v>2.7023892177425634E-2</v>
      </c>
      <c r="I46" s="27">
        <f t="shared" si="20"/>
        <v>2438944.971665259</v>
      </c>
      <c r="J46" s="27">
        <f t="shared" si="21"/>
        <v>173640.44293336425</v>
      </c>
      <c r="K46" s="124">
        <f t="shared" si="22"/>
        <v>7.1194899823757124E-2</v>
      </c>
    </row>
    <row r="47" spans="2:11" x14ac:dyDescent="0.2">
      <c r="B47" s="120" t="s">
        <v>0</v>
      </c>
      <c r="C47" s="31">
        <f>SUM(C35:C46)</f>
        <v>371092.00000000926</v>
      </c>
      <c r="D47" s="29">
        <f>SUM(D35:D46)</f>
        <v>1.0000000000000002</v>
      </c>
      <c r="E47" s="31">
        <f t="shared" ref="E47" si="23">SUM(E35:E46)</f>
        <v>22372681.908174731</v>
      </c>
      <c r="F47" s="29">
        <f t="shared" ref="F47" si="24">SUM(F35:F46)</f>
        <v>0.99999999999999989</v>
      </c>
      <c r="G47" s="31">
        <f t="shared" ref="G47" si="25">SUM(G35:G46)</f>
        <v>1234767267.9404807</v>
      </c>
      <c r="H47" s="29">
        <f t="shared" ref="H47" si="26">SUM(H35:H46)</f>
        <v>1.0000000000000002</v>
      </c>
      <c r="I47" s="31">
        <f>E47/C47*1000</f>
        <v>60288.774503827008</v>
      </c>
      <c r="J47" s="31">
        <f>G47/C47</f>
        <v>3327.3885396086412</v>
      </c>
      <c r="K47" s="121">
        <f>G47/(E47*1000)</f>
        <v>5.5190847168363408E-2</v>
      </c>
    </row>
    <row r="49" spans="1:14" s="6" customFormat="1" x14ac:dyDescent="0.2">
      <c r="A49" s="130"/>
      <c r="B49" s="261" t="s">
        <v>447</v>
      </c>
      <c r="C49" s="260"/>
      <c r="D49" s="260"/>
      <c r="E49" s="260"/>
      <c r="F49" s="260"/>
      <c r="G49" s="260"/>
      <c r="H49" s="260"/>
      <c r="I49" s="260"/>
      <c r="J49" s="260"/>
      <c r="K49" s="260"/>
      <c r="L49" s="260"/>
      <c r="M49" s="260"/>
      <c r="N49" s="260"/>
    </row>
    <row r="50" spans="1:14" ht="48.75" customHeight="1" x14ac:dyDescent="0.2">
      <c r="B50" s="301" t="s">
        <v>462</v>
      </c>
      <c r="C50" s="304"/>
      <c r="D50" s="304"/>
      <c r="E50" s="304"/>
      <c r="F50" s="304"/>
      <c r="G50" s="304"/>
      <c r="H50" s="304"/>
      <c r="I50" s="304"/>
      <c r="J50" s="304"/>
      <c r="K50" s="304"/>
    </row>
  </sheetData>
  <mergeCells count="12">
    <mergeCell ref="B6:K6"/>
    <mergeCell ref="B20:K20"/>
    <mergeCell ref="B34:K34"/>
    <mergeCell ref="B50:K50"/>
    <mergeCell ref="B3:B5"/>
    <mergeCell ref="C3:D4"/>
    <mergeCell ref="E3:F4"/>
    <mergeCell ref="G3:H4"/>
    <mergeCell ref="I3:I5"/>
    <mergeCell ref="J3:J5"/>
    <mergeCell ref="K3:K5"/>
    <mergeCell ref="B49:N49"/>
  </mergeCells>
  <pageMargins left="0.7" right="0.7" top="0.78740157499999996" bottom="0.78740157499999996" header="0.3" footer="0.3"/>
  <pageSetup paperSize="9" scale="72" orientation="landscape"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pageSetUpPr fitToPage="1"/>
  </sheetPr>
  <dimension ref="A1:S18"/>
  <sheetViews>
    <sheetView view="pageBreakPreview" zoomScaleNormal="100" zoomScaleSheetLayoutView="100" workbookViewId="0"/>
  </sheetViews>
  <sheetFormatPr baseColWidth="10" defaultRowHeight="12.75" x14ac:dyDescent="0.2"/>
  <cols>
    <col min="1" max="1" width="2" style="134" customWidth="1"/>
    <col min="2" max="2" width="5.7109375" style="138" customWidth="1"/>
    <col min="3" max="3" width="17" style="138" bestFit="1" customWidth="1"/>
    <col min="4" max="4" width="18.28515625" style="138" bestFit="1" customWidth="1"/>
    <col min="5" max="5" width="12.140625" style="138" bestFit="1" customWidth="1"/>
    <col min="6" max="7" width="11.42578125" style="138"/>
    <col min="8" max="8" width="16.140625" style="138" customWidth="1"/>
    <col min="9" max="13" width="11.42578125" style="138"/>
    <col min="14" max="14" width="13.28515625" style="138" customWidth="1"/>
    <col min="15" max="16384" width="11.42578125" style="138"/>
  </cols>
  <sheetData>
    <row r="1" spans="2:19" ht="15.75" x14ac:dyDescent="0.2">
      <c r="B1" s="213" t="str">
        <f>Inhaltsverzeichnis!B61&amp;" "&amp;Inhaltsverzeichnis!C61&amp;" "&amp;Inhaltsverzeichnis!E61</f>
        <v>Tabelle 26a: Entwicklung der Vermögens- und Einkommenssteuer von Pflichtigen mit Wohnsitz im Kanton Aargau, 2001 – 2013</v>
      </c>
      <c r="C1" s="214"/>
      <c r="D1" s="214"/>
      <c r="E1" s="214"/>
      <c r="F1" s="214"/>
      <c r="G1" s="214"/>
      <c r="H1" s="214"/>
      <c r="I1" s="214"/>
      <c r="J1" s="214"/>
      <c r="K1" s="214"/>
      <c r="L1" s="214"/>
      <c r="M1" s="214"/>
      <c r="N1" s="214"/>
      <c r="O1" s="214"/>
      <c r="P1" s="214"/>
      <c r="Q1" s="214"/>
      <c r="R1" s="214"/>
      <c r="S1" s="214"/>
    </row>
    <row r="3" spans="2:19" x14ac:dyDescent="0.2">
      <c r="B3" s="194" t="s">
        <v>4</v>
      </c>
      <c r="C3" s="194" t="s">
        <v>152</v>
      </c>
      <c r="D3" s="194" t="s">
        <v>465</v>
      </c>
      <c r="E3" s="194" t="s">
        <v>466</v>
      </c>
    </row>
    <row r="4" spans="2:19" x14ac:dyDescent="0.2">
      <c r="B4" s="140"/>
      <c r="C4" s="314" t="s">
        <v>129</v>
      </c>
      <c r="D4" s="315"/>
      <c r="E4" s="316"/>
    </row>
    <row r="5" spans="2:19" x14ac:dyDescent="0.2">
      <c r="B5" s="159">
        <v>2001</v>
      </c>
      <c r="C5" s="141">
        <v>931.95146932514001</v>
      </c>
      <c r="D5" s="141">
        <v>110.92636164037542</v>
      </c>
      <c r="E5" s="141">
        <v>1042.8778309655154</v>
      </c>
    </row>
    <row r="6" spans="2:19" x14ac:dyDescent="0.2">
      <c r="B6" s="159">
        <v>2002</v>
      </c>
      <c r="C6" s="141">
        <v>886.800793282168</v>
      </c>
      <c r="D6" s="141">
        <v>108.49668830865483</v>
      </c>
      <c r="E6" s="141">
        <v>995.29748159082283</v>
      </c>
    </row>
    <row r="7" spans="2:19" x14ac:dyDescent="0.2">
      <c r="B7" s="159">
        <v>2003</v>
      </c>
      <c r="C7" s="141">
        <v>898.86829859739555</v>
      </c>
      <c r="D7" s="141">
        <v>115.44492902422844</v>
      </c>
      <c r="E7" s="141">
        <v>1014.313227621624</v>
      </c>
    </row>
    <row r="8" spans="2:19" x14ac:dyDescent="0.2">
      <c r="B8" s="159">
        <v>2004</v>
      </c>
      <c r="C8" s="141">
        <v>922.07222185249259</v>
      </c>
      <c r="D8" s="141">
        <v>116.4944239847737</v>
      </c>
      <c r="E8" s="141">
        <v>1038.5666458372664</v>
      </c>
    </row>
    <row r="9" spans="2:19" x14ac:dyDescent="0.2">
      <c r="B9" s="159">
        <v>2005</v>
      </c>
      <c r="C9" s="141">
        <v>950.77996779256625</v>
      </c>
      <c r="D9" s="141">
        <v>125.92114883529182</v>
      </c>
      <c r="E9" s="141">
        <v>1076.7011166278583</v>
      </c>
    </row>
    <row r="10" spans="2:19" x14ac:dyDescent="0.2">
      <c r="B10" s="159">
        <v>2006</v>
      </c>
      <c r="C10" s="141">
        <v>987.7252907640061</v>
      </c>
      <c r="D10" s="141">
        <v>132.76441974206148</v>
      </c>
      <c r="E10" s="141">
        <v>1120.4897105060675</v>
      </c>
    </row>
    <row r="11" spans="2:19" x14ac:dyDescent="0.2">
      <c r="B11" s="159">
        <v>2007</v>
      </c>
      <c r="C11" s="141">
        <v>1034.5189925775421</v>
      </c>
      <c r="D11" s="141">
        <v>134.88515154414526</v>
      </c>
      <c r="E11" s="141">
        <v>1169.4041441216875</v>
      </c>
    </row>
    <row r="12" spans="2:19" x14ac:dyDescent="0.2">
      <c r="B12" s="159">
        <v>2008</v>
      </c>
      <c r="C12" s="141">
        <v>1086.8349006562958</v>
      </c>
      <c r="D12" s="141">
        <v>120.02887500197799</v>
      </c>
      <c r="E12" s="141">
        <v>1206.8637756582737</v>
      </c>
    </row>
    <row r="13" spans="2:19" x14ac:dyDescent="0.2">
      <c r="B13" s="159">
        <v>2009</v>
      </c>
      <c r="C13" s="141">
        <v>1077.6264891524002</v>
      </c>
      <c r="D13" s="141">
        <v>112.7644322900819</v>
      </c>
      <c r="E13" s="141">
        <v>1190.3909214424823</v>
      </c>
    </row>
    <row r="14" spans="2:19" x14ac:dyDescent="0.2">
      <c r="B14" s="159">
        <v>2010</v>
      </c>
      <c r="C14" s="141">
        <v>1114.1252979947608</v>
      </c>
      <c r="D14" s="141">
        <v>115.31698169998326</v>
      </c>
      <c r="E14" s="141">
        <v>1229.442279694744</v>
      </c>
    </row>
    <row r="15" spans="2:19" x14ac:dyDescent="0.2">
      <c r="B15" s="159">
        <v>2011</v>
      </c>
      <c r="C15" s="141">
        <v>1156.6068096830309</v>
      </c>
      <c r="D15" s="141">
        <v>120.77401941225111</v>
      </c>
      <c r="E15" s="141">
        <v>1277.3808290952745</v>
      </c>
    </row>
    <row r="16" spans="2:19" x14ac:dyDescent="0.2">
      <c r="B16" s="159">
        <v>2012</v>
      </c>
      <c r="C16" s="27">
        <v>1188.4815323994578</v>
      </c>
      <c r="D16" s="27">
        <v>128.99990355598027</v>
      </c>
      <c r="E16" s="27">
        <v>1317.4814359554491</v>
      </c>
      <c r="H16" s="198"/>
      <c r="I16" s="198"/>
    </row>
    <row r="17" spans="1:9" x14ac:dyDescent="0.2">
      <c r="A17" s="220"/>
      <c r="B17" s="159">
        <v>2013</v>
      </c>
      <c r="C17" s="27">
        <v>1220.7927564478773</v>
      </c>
      <c r="D17" s="27">
        <v>136.48423583297034</v>
      </c>
      <c r="E17" s="27">
        <v>1357.2769922808741</v>
      </c>
      <c r="H17" s="198"/>
      <c r="I17" s="198"/>
    </row>
    <row r="18" spans="1:9" x14ac:dyDescent="0.2">
      <c r="C18" s="30"/>
      <c r="D18" s="30"/>
      <c r="E18" s="30"/>
      <c r="F18" s="185"/>
    </row>
  </sheetData>
  <mergeCells count="1">
    <mergeCell ref="C4:E4"/>
  </mergeCells>
  <pageMargins left="0.7" right="0.7" top="0.78740157499999996" bottom="0.78740157499999996" header="0.3" footer="0.3"/>
  <pageSetup paperSize="9" scale="82" orientation="landscape" r:id="rId1"/>
  <colBreaks count="1" manualBreakCount="1">
    <brk id="14" max="1048575" man="1"/>
  </colBreaks>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pageSetUpPr fitToPage="1"/>
  </sheetPr>
  <dimension ref="A1:T33"/>
  <sheetViews>
    <sheetView view="pageBreakPreview" zoomScaleNormal="100" zoomScaleSheetLayoutView="100" workbookViewId="0"/>
  </sheetViews>
  <sheetFormatPr baseColWidth="10" defaultRowHeight="12.75" x14ac:dyDescent="0.2"/>
  <cols>
    <col min="1" max="1" width="2" style="145" customWidth="1"/>
    <col min="2" max="2" width="5.7109375" style="138" customWidth="1"/>
    <col min="3" max="3" width="15" style="138" customWidth="1"/>
    <col min="4" max="4" width="15.85546875" style="138" bestFit="1" customWidth="1"/>
    <col min="5" max="6" width="15" style="138" customWidth="1"/>
    <col min="7" max="16" width="11.42578125" style="138"/>
    <col min="17" max="17" width="8.5703125" style="138" bestFit="1" customWidth="1"/>
    <col min="18" max="18" width="14.28515625" style="138" bestFit="1" customWidth="1"/>
    <col min="19" max="19" width="12.5703125" style="138" bestFit="1" customWidth="1"/>
    <col min="20" max="16384" width="11.42578125" style="138"/>
  </cols>
  <sheetData>
    <row r="1" spans="1:19" ht="15.75" x14ac:dyDescent="0.2">
      <c r="B1" s="213" t="str">
        <f>Inhaltsverzeichnis!B62&amp;" "&amp;Inhaltsverzeichnis!C62&amp;" "&amp;Inhaltsverzeichnis!E62</f>
        <v>Tabelle 26b: Entwicklung der Pflichtigen, des Reineinkommens und Reinvermögens sowie der einfachen Kantonssteuer, 2001 – 2013 (indexiert)</v>
      </c>
      <c r="C1" s="214"/>
      <c r="D1" s="214"/>
      <c r="E1" s="214"/>
      <c r="F1" s="214"/>
      <c r="G1" s="214"/>
      <c r="H1" s="214"/>
      <c r="I1" s="214"/>
      <c r="J1" s="214"/>
      <c r="K1" s="214"/>
      <c r="L1" s="214"/>
      <c r="M1" s="214"/>
      <c r="N1" s="214"/>
      <c r="O1" s="214"/>
      <c r="P1" s="214"/>
      <c r="Q1" s="214"/>
      <c r="R1" s="214"/>
      <c r="S1" s="214"/>
    </row>
    <row r="3" spans="1:19" ht="25.5" x14ac:dyDescent="0.2">
      <c r="B3" s="191" t="s">
        <v>4</v>
      </c>
      <c r="C3" s="202" t="s">
        <v>441</v>
      </c>
      <c r="D3" s="209" t="s">
        <v>558</v>
      </c>
      <c r="E3" s="209" t="s">
        <v>559</v>
      </c>
      <c r="F3" s="209" t="s">
        <v>560</v>
      </c>
    </row>
    <row r="4" spans="1:19" x14ac:dyDescent="0.2">
      <c r="B4" s="159">
        <v>2001</v>
      </c>
      <c r="C4" s="141">
        <v>297032.06849706284</v>
      </c>
      <c r="D4" s="141">
        <f>17742462981.5231/1000000</f>
        <v>17742.462981523102</v>
      </c>
      <c r="E4" s="141">
        <f>75916343547.5808/1000000</f>
        <v>75916.343547580793</v>
      </c>
      <c r="F4" s="141">
        <f>1042877830.9655/1000000</f>
        <v>1042.8778309654999</v>
      </c>
    </row>
    <row r="5" spans="1:19" x14ac:dyDescent="0.2">
      <c r="B5" s="159">
        <v>2002</v>
      </c>
      <c r="C5" s="141">
        <v>301610.59926758514</v>
      </c>
      <c r="D5" s="141">
        <f>18056791142.7381/1000000</f>
        <v>18056.791142738097</v>
      </c>
      <c r="E5" s="141">
        <f>75854290837.3044/1000000</f>
        <v>75854.290837304405</v>
      </c>
      <c r="F5" s="141">
        <f>995297481.590838/1000000</f>
        <v>995.29748159083795</v>
      </c>
    </row>
    <row r="6" spans="1:19" x14ac:dyDescent="0.2">
      <c r="B6" s="159">
        <v>2003</v>
      </c>
      <c r="C6" s="141">
        <v>306943.21937556728</v>
      </c>
      <c r="D6" s="141">
        <f>18259095410.5138/1000000</f>
        <v>18259.095410513801</v>
      </c>
      <c r="E6" s="141">
        <f>79288103073.5543/1000000</f>
        <v>79288.103073554303</v>
      </c>
      <c r="F6" s="141">
        <f>1014313227.62163/1000000</f>
        <v>1014.3132276216299</v>
      </c>
    </row>
    <row r="7" spans="1:19" x14ac:dyDescent="0.2">
      <c r="B7" s="159">
        <v>2004</v>
      </c>
      <c r="C7" s="141">
        <v>311817.75535596634</v>
      </c>
      <c r="D7" s="141">
        <f>18641375877.9063/1000000</f>
        <v>18641.375877906299</v>
      </c>
      <c r="E7" s="141">
        <f>79831585697.3362/1000000</f>
        <v>79831.585697336195</v>
      </c>
      <c r="F7" s="141">
        <f>1038566645.83724/1000000</f>
        <v>1038.56664583724</v>
      </c>
    </row>
    <row r="8" spans="1:19" x14ac:dyDescent="0.2">
      <c r="B8" s="159">
        <v>2005</v>
      </c>
      <c r="C8" s="141">
        <v>316348.41468274372</v>
      </c>
      <c r="D8" s="141">
        <f>19033501276.7478/1000000</f>
        <v>19033.5012767478</v>
      </c>
      <c r="E8" s="141">
        <f>84020784332.4708/1000000</f>
        <v>84020.784332470794</v>
      </c>
      <c r="F8" s="141">
        <f>1076701116.62782/1000000</f>
        <v>1076.7011166278201</v>
      </c>
    </row>
    <row r="9" spans="1:19" x14ac:dyDescent="0.2">
      <c r="B9" s="159">
        <v>2006</v>
      </c>
      <c r="C9" s="141">
        <v>320784.19152067928</v>
      </c>
      <c r="D9" s="141">
        <f>19525762530.8571/1000000</f>
        <v>19525.762530857101</v>
      </c>
      <c r="E9" s="141">
        <f>87390015099.2121/1000000</f>
        <v>87390.015099212091</v>
      </c>
      <c r="F9" s="141">
        <f>1120489710.50613/1000000</f>
        <v>1120.48971050613</v>
      </c>
    </row>
    <row r="10" spans="1:19" x14ac:dyDescent="0.2">
      <c r="B10" s="159">
        <v>2007</v>
      </c>
      <c r="C10" s="141">
        <v>325545.75593777496</v>
      </c>
      <c r="D10" s="141">
        <f>20451541238.6773/1000000</f>
        <v>20451.541238677299</v>
      </c>
      <c r="E10" s="141">
        <f>88709784254.5659/1000000</f>
        <v>88709.784254565908</v>
      </c>
      <c r="F10" s="141">
        <f>1169404144.12167/1000000</f>
        <v>1169.40414412167</v>
      </c>
    </row>
    <row r="11" spans="1:19" x14ac:dyDescent="0.2">
      <c r="B11" s="159">
        <v>2008</v>
      </c>
      <c r="C11" s="141">
        <v>330149.53394653084</v>
      </c>
      <c r="D11" s="141">
        <f>21182374991.0552/1000000</f>
        <v>21182.3749910552</v>
      </c>
      <c r="E11" s="141">
        <f>82297141935.6351/1000000</f>
        <v>82297.141935635096</v>
      </c>
      <c r="F11" s="141">
        <f>1206863775.65829/1000000</f>
        <v>1206.8637756582898</v>
      </c>
    </row>
    <row r="12" spans="1:19" x14ac:dyDescent="0.2">
      <c r="B12" s="159">
        <v>2009</v>
      </c>
      <c r="C12" s="141">
        <v>336011.33484663442</v>
      </c>
      <c r="D12" s="141">
        <f>21737995266.9406/1000000</f>
        <v>21737.995266940601</v>
      </c>
      <c r="E12" s="141">
        <f>87697787069.0238/1000000</f>
        <v>87697.787069023805</v>
      </c>
      <c r="F12" s="141">
        <f>1190390921.44244/1000000</f>
        <v>1190.39092144244</v>
      </c>
    </row>
    <row r="13" spans="1:19" x14ac:dyDescent="0.2">
      <c r="B13" s="159">
        <v>2010</v>
      </c>
      <c r="C13" s="141">
        <v>342015.0956704634</v>
      </c>
      <c r="D13" s="141">
        <f>22342687862.609/1000000</f>
        <v>22342.687862609</v>
      </c>
      <c r="E13" s="141">
        <f>89192844763.1392/1000000</f>
        <v>89192.844763139205</v>
      </c>
      <c r="F13" s="141">
        <f>1229442279.69473/1000000</f>
        <v>1229.4422796947301</v>
      </c>
    </row>
    <row r="14" spans="1:19" x14ac:dyDescent="0.2">
      <c r="B14" s="159">
        <v>2011</v>
      </c>
      <c r="C14" s="141">
        <v>347401.98614643887</v>
      </c>
      <c r="D14" s="141">
        <f>23035731619.3255/1000000</f>
        <v>23035.731619325499</v>
      </c>
      <c r="E14" s="141">
        <f>92215640651.6709/1000000</f>
        <v>92215.640651670896</v>
      </c>
      <c r="F14" s="141">
        <f>1277380829.09527/1000000</f>
        <v>1277.38082909527</v>
      </c>
    </row>
    <row r="15" spans="1:19" x14ac:dyDescent="0.2">
      <c r="B15" s="159">
        <v>2012</v>
      </c>
      <c r="C15" s="141">
        <v>353200.69544202997</v>
      </c>
      <c r="D15" s="186">
        <f>23571818964.196/1000000</f>
        <v>23571.818964195998</v>
      </c>
      <c r="E15" s="186">
        <f>98152675494.7278/1000000</f>
        <v>98152.675494727795</v>
      </c>
      <c r="F15" s="186">
        <f>1317481435.95545/1000000</f>
        <v>1317.48143595545</v>
      </c>
      <c r="H15" s="198"/>
      <c r="I15" s="198"/>
      <c r="J15" s="198"/>
      <c r="K15" s="198"/>
      <c r="L15" s="198"/>
    </row>
    <row r="16" spans="1:19" x14ac:dyDescent="0.2">
      <c r="A16" s="220"/>
      <c r="B16" s="159">
        <v>2013</v>
      </c>
      <c r="C16" s="141">
        <v>358593.07773764897</v>
      </c>
      <c r="D16" s="186">
        <v>24051.897534447082</v>
      </c>
      <c r="E16" s="186">
        <v>102530.10100881133</v>
      </c>
      <c r="F16" s="186">
        <v>1357.2769922808741</v>
      </c>
      <c r="H16" s="198"/>
      <c r="I16" s="198"/>
      <c r="J16" s="198"/>
      <c r="K16" s="198"/>
      <c r="L16" s="198"/>
    </row>
    <row r="17" spans="2:20" x14ac:dyDescent="0.2">
      <c r="D17" s="187"/>
      <c r="E17" s="187"/>
      <c r="F17" s="187"/>
    </row>
    <row r="18" spans="2:20" ht="25.5" customHeight="1" x14ac:dyDescent="0.2">
      <c r="B18" s="301" t="s">
        <v>33</v>
      </c>
      <c r="C18" s="302"/>
      <c r="D18" s="302"/>
      <c r="E18" s="302"/>
      <c r="F18" s="302"/>
      <c r="G18" s="199"/>
      <c r="H18" s="199"/>
      <c r="I18" s="199"/>
      <c r="J18" s="199"/>
      <c r="K18" s="199"/>
      <c r="L18" s="199"/>
      <c r="M18" s="199"/>
      <c r="N18" s="199"/>
    </row>
    <row r="20" spans="2:20" x14ac:dyDescent="0.2">
      <c r="P20" s="138" t="s">
        <v>4</v>
      </c>
      <c r="Q20" s="138" t="s">
        <v>10</v>
      </c>
      <c r="R20" s="138" t="s">
        <v>30</v>
      </c>
      <c r="S20" s="138" t="s">
        <v>32</v>
      </c>
      <c r="T20" s="138" t="s">
        <v>489</v>
      </c>
    </row>
    <row r="21" spans="2:20" x14ac:dyDescent="0.2">
      <c r="P21" s="138">
        <v>2001</v>
      </c>
      <c r="Q21" s="147">
        <v>100</v>
      </c>
      <c r="R21" s="147">
        <f>100</f>
        <v>100</v>
      </c>
      <c r="S21" s="147">
        <f>100</f>
        <v>100</v>
      </c>
      <c r="T21" s="147">
        <f>100</f>
        <v>100</v>
      </c>
    </row>
    <row r="22" spans="2:20" x14ac:dyDescent="0.2">
      <c r="P22" s="138">
        <v>2002</v>
      </c>
      <c r="Q22" s="148">
        <f>C5/$C$4*100</f>
        <v>101.54142641691483</v>
      </c>
      <c r="R22" s="148">
        <f>D5/$D$4*100</f>
        <v>101.77161514465232</v>
      </c>
      <c r="S22" s="148">
        <f>E5/$E$4*100</f>
        <v>99.918261724186578</v>
      </c>
      <c r="T22" s="148">
        <f>F5/$F$4*100</f>
        <v>95.437591253559205</v>
      </c>
    </row>
    <row r="23" spans="2:20" x14ac:dyDescent="0.2">
      <c r="P23" s="138">
        <v>2003</v>
      </c>
      <c r="Q23" s="148">
        <f t="shared" ref="Q23:Q32" si="0">C6/$C$4*100</f>
        <v>103.33672755559809</v>
      </c>
      <c r="R23" s="148">
        <f t="shared" ref="R23:R31" si="1">D6/$D$4*100</f>
        <v>102.91184166216784</v>
      </c>
      <c r="S23" s="148">
        <f t="shared" ref="S23:S31" si="2">E6/$E$4*100</f>
        <v>104.44141454713272</v>
      </c>
      <c r="T23" s="148">
        <f t="shared" ref="T23:T31" si="3">F6/$F$4*100</f>
        <v>97.260982782861078</v>
      </c>
    </row>
    <row r="24" spans="2:20" x14ac:dyDescent="0.2">
      <c r="P24" s="138">
        <v>2004</v>
      </c>
      <c r="Q24" s="148">
        <f t="shared" si="0"/>
        <v>104.97780826619727</v>
      </c>
      <c r="R24" s="148">
        <f t="shared" si="1"/>
        <v>105.06644932735281</v>
      </c>
      <c r="S24" s="148">
        <f t="shared" si="2"/>
        <v>105.15731128080677</v>
      </c>
      <c r="T24" s="148">
        <f t="shared" si="3"/>
        <v>99.586606887187486</v>
      </c>
    </row>
    <row r="25" spans="2:20" x14ac:dyDescent="0.2">
      <c r="P25" s="138">
        <v>2005</v>
      </c>
      <c r="Q25" s="148">
        <f t="shared" si="0"/>
        <v>106.50311809206954</v>
      </c>
      <c r="R25" s="148">
        <f t="shared" si="1"/>
        <v>107.27654495640869</v>
      </c>
      <c r="S25" s="148">
        <f t="shared" si="2"/>
        <v>110.6754888422814</v>
      </c>
      <c r="T25" s="148">
        <f t="shared" si="3"/>
        <v>103.24326442254568</v>
      </c>
    </row>
    <row r="26" spans="2:20" x14ac:dyDescent="0.2">
      <c r="P26" s="138">
        <v>2006</v>
      </c>
      <c r="Q26" s="148">
        <f t="shared" si="0"/>
        <v>107.99648440109466</v>
      </c>
      <c r="R26" s="148">
        <f t="shared" si="1"/>
        <v>110.05102589866536</v>
      </c>
      <c r="S26" s="148">
        <f t="shared" si="2"/>
        <v>115.1135724080812</v>
      </c>
      <c r="T26" s="148">
        <f t="shared" si="3"/>
        <v>107.44208738896835</v>
      </c>
    </row>
    <row r="27" spans="2:20" x14ac:dyDescent="0.2">
      <c r="P27" s="138">
        <v>2007</v>
      </c>
      <c r="Q27" s="148">
        <f t="shared" si="0"/>
        <v>109.59953165494456</v>
      </c>
      <c r="R27" s="148">
        <f t="shared" si="1"/>
        <v>115.26889620666203</v>
      </c>
      <c r="S27" s="148">
        <f t="shared" si="2"/>
        <v>116.8520243588481</v>
      </c>
      <c r="T27" s="148">
        <f t="shared" si="3"/>
        <v>112.13241948378858</v>
      </c>
    </row>
    <row r="28" spans="2:20" x14ac:dyDescent="0.2">
      <c r="P28" s="138">
        <v>2008</v>
      </c>
      <c r="Q28" s="148">
        <f t="shared" si="0"/>
        <v>111.14945790770585</v>
      </c>
      <c r="R28" s="148">
        <f t="shared" si="1"/>
        <v>119.38801852434131</v>
      </c>
      <c r="S28" s="148">
        <f t="shared" si="2"/>
        <v>108.40503913897686</v>
      </c>
      <c r="T28" s="148">
        <f t="shared" si="3"/>
        <v>115.72436768945134</v>
      </c>
    </row>
    <row r="29" spans="2:20" x14ac:dyDescent="0.2">
      <c r="P29" s="138">
        <v>2009</v>
      </c>
      <c r="Q29" s="148">
        <f t="shared" si="0"/>
        <v>113.122915160912</v>
      </c>
      <c r="R29" s="148">
        <f t="shared" si="1"/>
        <v>122.51960333567229</v>
      </c>
      <c r="S29" s="148">
        <f t="shared" si="2"/>
        <v>115.51898177769712</v>
      </c>
      <c r="T29" s="148">
        <f t="shared" si="3"/>
        <v>114.14481026414877</v>
      </c>
    </row>
    <row r="30" spans="2:20" x14ac:dyDescent="0.2">
      <c r="P30" s="138">
        <v>2010</v>
      </c>
      <c r="Q30" s="148">
        <f t="shared" si="0"/>
        <v>115.14416520782009</v>
      </c>
      <c r="R30" s="148">
        <f t="shared" si="1"/>
        <v>125.92776936255436</v>
      </c>
      <c r="S30" s="148">
        <f t="shared" si="2"/>
        <v>117.48833070080269</v>
      </c>
      <c r="T30" s="148">
        <f t="shared" si="3"/>
        <v>117.88938677088458</v>
      </c>
    </row>
    <row r="31" spans="2:20" x14ac:dyDescent="0.2">
      <c r="P31" s="138">
        <v>2011</v>
      </c>
      <c r="Q31" s="148">
        <f t="shared" si="0"/>
        <v>116.95773722488624</v>
      </c>
      <c r="R31" s="148">
        <f t="shared" si="1"/>
        <v>129.83389985547541</v>
      </c>
      <c r="S31" s="148">
        <f t="shared" si="2"/>
        <v>121.47007659012775</v>
      </c>
      <c r="T31" s="148">
        <f t="shared" si="3"/>
        <v>122.48614278363424</v>
      </c>
    </row>
    <row r="32" spans="2:20" x14ac:dyDescent="0.2">
      <c r="P32" s="138">
        <v>2012</v>
      </c>
      <c r="Q32" s="148">
        <f t="shared" si="0"/>
        <v>118.90995380706597</v>
      </c>
      <c r="R32" s="148">
        <f t="shared" ref="R32" si="4">D15/$D$4*100</f>
        <v>132.85539323792617</v>
      </c>
      <c r="S32" s="148">
        <f t="shared" ref="S32" si="5">E15/$E$4*100</f>
        <v>129.29057289648088</v>
      </c>
      <c r="T32" s="148">
        <f t="shared" ref="T32" si="6">F15/$F$4*100</f>
        <v>126.33133017466879</v>
      </c>
    </row>
    <row r="33" spans="16:20" x14ac:dyDescent="0.2">
      <c r="P33" s="138">
        <v>2013</v>
      </c>
      <c r="Q33" s="148">
        <f t="shared" ref="Q33" si="7">C16/$C$4*100</f>
        <v>120.72537472202092</v>
      </c>
      <c r="R33" s="148">
        <f t="shared" ref="R33" si="8">D16/$D$4*100</f>
        <v>135.56121018538738</v>
      </c>
      <c r="S33" s="148">
        <f t="shared" ref="S33" si="9">E16/$E$4*100</f>
        <v>135.05669032195985</v>
      </c>
      <c r="T33" s="148">
        <f t="shared" ref="T33" si="10">F16/$F$4*100</f>
        <v>130.14726672483795</v>
      </c>
    </row>
  </sheetData>
  <mergeCells count="1">
    <mergeCell ref="B18:F18"/>
  </mergeCells>
  <pageMargins left="0.7" right="0.7" top="0.78740157499999996" bottom="0.78740157499999996" header="0.3" footer="0.3"/>
  <pageSetup paperSize="9" scale="81" orientation="landscape"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97E"/>
    <pageSetUpPr fitToPage="1"/>
  </sheetPr>
  <dimension ref="B1:AC242"/>
  <sheetViews>
    <sheetView view="pageBreakPreview" zoomScaleNormal="100" zoomScaleSheetLayoutView="100" zoomScalePageLayoutView="70" workbookViewId="0"/>
  </sheetViews>
  <sheetFormatPr baseColWidth="10" defaultRowHeight="12.75" x14ac:dyDescent="0.2"/>
  <cols>
    <col min="1" max="1" width="2" style="92" customWidth="1"/>
    <col min="2" max="2" width="18.140625" style="92" customWidth="1"/>
    <col min="3" max="3" width="10.7109375" style="92" customWidth="1"/>
    <col min="4" max="4" width="12.140625" style="92" customWidth="1"/>
    <col min="5" max="5" width="10.42578125" style="92" customWidth="1"/>
    <col min="6" max="6" width="13.140625" style="92" customWidth="1"/>
    <col min="7" max="7" width="10.42578125" style="92" customWidth="1"/>
    <col min="8" max="8" width="12.28515625" style="92" bestFit="1" customWidth="1"/>
    <col min="9" max="9" width="10.42578125" style="92" customWidth="1"/>
    <col min="10" max="10" width="12.140625" style="92" customWidth="1"/>
    <col min="11" max="11" width="10.42578125" style="92" customWidth="1"/>
    <col min="12" max="12" width="6.5703125" style="92" customWidth="1"/>
    <col min="13" max="16384" width="11.42578125" style="92"/>
  </cols>
  <sheetData>
    <row r="1" spans="2:29" s="11" customFormat="1" ht="15.75" x14ac:dyDescent="0.2">
      <c r="B1" s="213" t="str">
        <f>Inhaltsverzeichnis!B65&amp;" "&amp;Inhaltsverzeichnis!C65&amp;" "&amp;Inhaltsverzeichnis!E65</f>
        <v>Tabelle 27: Einkommen und Vermögen der Pflichtigen mit Wohnsitz im Kanton Aargau nach Gemeinden, 2013</v>
      </c>
      <c r="C1" s="214"/>
      <c r="D1" s="214"/>
      <c r="E1" s="214"/>
      <c r="F1" s="214"/>
      <c r="G1" s="214"/>
      <c r="H1" s="214"/>
      <c r="I1" s="214"/>
      <c r="J1" s="214"/>
      <c r="K1" s="214"/>
      <c r="L1" s="214"/>
      <c r="M1" s="214"/>
      <c r="N1" s="214"/>
      <c r="O1" s="214"/>
      <c r="P1" s="214"/>
      <c r="Q1" s="214"/>
      <c r="R1" s="214"/>
      <c r="S1" s="214"/>
      <c r="T1" s="91"/>
      <c r="U1" s="91"/>
      <c r="V1" s="91"/>
      <c r="W1" s="91"/>
      <c r="X1" s="91"/>
      <c r="Y1" s="91"/>
      <c r="Z1" s="91"/>
      <c r="AA1" s="91"/>
      <c r="AB1" s="91"/>
      <c r="AC1" s="91"/>
    </row>
    <row r="3" spans="2:29" s="107" customFormat="1" ht="27" customHeight="1" x14ac:dyDescent="0.2">
      <c r="B3" s="248" t="s">
        <v>176</v>
      </c>
      <c r="C3" s="95" t="s">
        <v>10</v>
      </c>
      <c r="D3" s="246" t="s">
        <v>78</v>
      </c>
      <c r="E3" s="250"/>
      <c r="F3" s="246" t="s">
        <v>30</v>
      </c>
      <c r="G3" s="247"/>
      <c r="H3" s="246" t="s">
        <v>178</v>
      </c>
      <c r="I3" s="247"/>
      <c r="J3" s="246" t="s">
        <v>32</v>
      </c>
      <c r="K3" s="247"/>
    </row>
    <row r="4" spans="2:29" ht="15" customHeight="1" x14ac:dyDescent="0.2">
      <c r="B4" s="249"/>
      <c r="C4" s="112" t="s">
        <v>1</v>
      </c>
      <c r="D4" s="112" t="s">
        <v>177</v>
      </c>
      <c r="E4" s="112" t="s">
        <v>508</v>
      </c>
      <c r="F4" s="112" t="s">
        <v>177</v>
      </c>
      <c r="G4" s="160" t="s">
        <v>508</v>
      </c>
      <c r="H4" s="112" t="s">
        <v>177</v>
      </c>
      <c r="I4" s="160" t="s">
        <v>508</v>
      </c>
      <c r="J4" s="112" t="s">
        <v>177</v>
      </c>
      <c r="K4" s="160" t="s">
        <v>508</v>
      </c>
    </row>
    <row r="5" spans="2:29" x14ac:dyDescent="0.2">
      <c r="B5" s="125" t="s">
        <v>179</v>
      </c>
      <c r="C5" s="127">
        <v>344671</v>
      </c>
      <c r="D5" s="127">
        <v>84800</v>
      </c>
      <c r="E5" s="127">
        <v>68600</v>
      </c>
      <c r="F5" s="127">
        <v>66500</v>
      </c>
      <c r="G5" s="127">
        <v>54600</v>
      </c>
      <c r="H5" s="127">
        <v>462100</v>
      </c>
      <c r="I5" s="127">
        <v>140200</v>
      </c>
      <c r="J5" s="127">
        <v>278900</v>
      </c>
      <c r="K5" s="127">
        <v>37600</v>
      </c>
    </row>
    <row r="6" spans="2:29" x14ac:dyDescent="0.2">
      <c r="B6" s="125" t="s">
        <v>180</v>
      </c>
      <c r="C6" s="127">
        <v>29849</v>
      </c>
      <c r="D6" s="127">
        <v>82600</v>
      </c>
      <c r="E6" s="127">
        <v>68300</v>
      </c>
      <c r="F6" s="127">
        <v>65400</v>
      </c>
      <c r="G6" s="127">
        <v>55100</v>
      </c>
      <c r="H6" s="127">
        <v>441100</v>
      </c>
      <c r="I6" s="127">
        <v>155300</v>
      </c>
      <c r="J6" s="127">
        <v>266300</v>
      </c>
      <c r="K6" s="127">
        <v>42100</v>
      </c>
    </row>
    <row r="7" spans="2:29" ht="14.25" x14ac:dyDescent="0.2">
      <c r="B7" s="138" t="s">
        <v>662</v>
      </c>
      <c r="C7" s="226" t="s">
        <v>663</v>
      </c>
      <c r="D7" s="226" t="s">
        <v>663</v>
      </c>
      <c r="E7" s="226" t="s">
        <v>663</v>
      </c>
      <c r="F7" s="226" t="s">
        <v>663</v>
      </c>
      <c r="G7" s="226" t="s">
        <v>663</v>
      </c>
      <c r="H7" s="226" t="s">
        <v>663</v>
      </c>
      <c r="I7" s="226" t="s">
        <v>663</v>
      </c>
      <c r="J7" s="226" t="s">
        <v>663</v>
      </c>
      <c r="K7" s="226" t="s">
        <v>663</v>
      </c>
    </row>
    <row r="8" spans="2:29" x14ac:dyDescent="0.2">
      <c r="B8" s="6" t="s">
        <v>181</v>
      </c>
      <c r="C8" s="126">
        <v>861</v>
      </c>
      <c r="D8" s="126">
        <v>115400</v>
      </c>
      <c r="E8" s="126">
        <v>86800</v>
      </c>
      <c r="F8" s="126">
        <v>91900</v>
      </c>
      <c r="G8" s="126">
        <v>68300</v>
      </c>
      <c r="H8" s="126">
        <v>750300</v>
      </c>
      <c r="I8" s="126">
        <v>475000</v>
      </c>
      <c r="J8" s="126">
        <v>458400</v>
      </c>
      <c r="K8" s="126">
        <v>102900</v>
      </c>
    </row>
    <row r="9" spans="2:29" x14ac:dyDescent="0.2">
      <c r="B9" s="6" t="s">
        <v>537</v>
      </c>
      <c r="C9" s="126">
        <v>4171</v>
      </c>
      <c r="D9" s="126">
        <v>78200</v>
      </c>
      <c r="E9" s="126">
        <v>66600</v>
      </c>
      <c r="F9" s="126">
        <v>63800</v>
      </c>
      <c r="G9" s="126">
        <v>56000</v>
      </c>
      <c r="H9" s="126">
        <v>344700</v>
      </c>
      <c r="I9" s="126">
        <v>65300</v>
      </c>
      <c r="J9" s="126">
        <v>212100</v>
      </c>
      <c r="K9" s="126">
        <v>35600</v>
      </c>
    </row>
    <row r="10" spans="2:29" x14ac:dyDescent="0.2">
      <c r="B10" s="138" t="s">
        <v>182</v>
      </c>
      <c r="C10" s="126">
        <v>401</v>
      </c>
      <c r="D10" s="126">
        <v>72500</v>
      </c>
      <c r="E10" s="126">
        <v>60600</v>
      </c>
      <c r="F10" s="126">
        <v>55700</v>
      </c>
      <c r="G10" s="126">
        <v>47100</v>
      </c>
      <c r="H10" s="126">
        <v>413000</v>
      </c>
      <c r="I10" s="126">
        <v>258600</v>
      </c>
      <c r="J10" s="126">
        <v>243300</v>
      </c>
      <c r="K10" s="126">
        <v>56200</v>
      </c>
    </row>
    <row r="11" spans="2:29" x14ac:dyDescent="0.2">
      <c r="B11" s="138" t="s">
        <v>538</v>
      </c>
      <c r="C11" s="126">
        <v>2148</v>
      </c>
      <c r="D11" s="126">
        <v>93300</v>
      </c>
      <c r="E11" s="126">
        <v>73500</v>
      </c>
      <c r="F11" s="126">
        <v>73400</v>
      </c>
      <c r="G11" s="126">
        <v>60300</v>
      </c>
      <c r="H11" s="126">
        <v>593700</v>
      </c>
      <c r="I11" s="126">
        <v>342000</v>
      </c>
      <c r="J11" s="126">
        <v>352800</v>
      </c>
      <c r="K11" s="126">
        <v>59400</v>
      </c>
    </row>
    <row r="12" spans="2:29" x14ac:dyDescent="0.2">
      <c r="B12" s="138" t="s">
        <v>183</v>
      </c>
      <c r="C12" s="126">
        <v>4044</v>
      </c>
      <c r="D12" s="126">
        <v>80300</v>
      </c>
      <c r="E12" s="126">
        <v>69000</v>
      </c>
      <c r="F12" s="126">
        <v>62800</v>
      </c>
      <c r="G12" s="126">
        <v>55000</v>
      </c>
      <c r="H12" s="126">
        <v>434900</v>
      </c>
      <c r="I12" s="126">
        <v>257600</v>
      </c>
      <c r="J12" s="126">
        <v>249500</v>
      </c>
      <c r="K12" s="126">
        <v>41700</v>
      </c>
    </row>
    <row r="13" spans="2:29" x14ac:dyDescent="0.2">
      <c r="B13" s="138" t="s">
        <v>184</v>
      </c>
      <c r="C13" s="126">
        <v>844</v>
      </c>
      <c r="D13" s="126">
        <v>95300</v>
      </c>
      <c r="E13" s="126">
        <v>74600</v>
      </c>
      <c r="F13" s="126">
        <v>72900</v>
      </c>
      <c r="G13" s="126">
        <v>57900</v>
      </c>
      <c r="H13" s="126">
        <v>634500</v>
      </c>
      <c r="I13" s="126">
        <v>326100</v>
      </c>
      <c r="J13" s="126">
        <v>344500</v>
      </c>
      <c r="K13" s="126">
        <v>39900</v>
      </c>
    </row>
    <row r="14" spans="2:29" x14ac:dyDescent="0.2">
      <c r="B14" s="138" t="s">
        <v>185</v>
      </c>
      <c r="C14" s="126">
        <v>3410</v>
      </c>
      <c r="D14" s="126">
        <v>93300</v>
      </c>
      <c r="E14" s="126">
        <v>72400</v>
      </c>
      <c r="F14" s="126">
        <v>74000</v>
      </c>
      <c r="G14" s="126">
        <v>59200</v>
      </c>
      <c r="H14" s="126">
        <v>596700</v>
      </c>
      <c r="I14" s="126">
        <v>276200</v>
      </c>
      <c r="J14" s="126">
        <v>390300</v>
      </c>
      <c r="K14" s="126">
        <v>59400</v>
      </c>
    </row>
    <row r="15" spans="2:29" x14ac:dyDescent="0.2">
      <c r="B15" s="138" t="s">
        <v>186</v>
      </c>
      <c r="C15" s="126">
        <v>2110</v>
      </c>
      <c r="D15" s="126">
        <v>81800</v>
      </c>
      <c r="E15" s="126">
        <v>69900</v>
      </c>
      <c r="F15" s="126">
        <v>63000</v>
      </c>
      <c r="G15" s="126">
        <v>54000</v>
      </c>
      <c r="H15" s="126">
        <v>442500</v>
      </c>
      <c r="I15" s="126">
        <v>344500</v>
      </c>
      <c r="J15" s="126">
        <v>235000</v>
      </c>
      <c r="K15" s="126">
        <v>53800</v>
      </c>
    </row>
    <row r="16" spans="2:29" x14ac:dyDescent="0.2">
      <c r="B16" s="138" t="s">
        <v>187</v>
      </c>
      <c r="C16" s="126">
        <v>4290</v>
      </c>
      <c r="D16" s="126">
        <v>74700</v>
      </c>
      <c r="E16" s="126">
        <v>63800</v>
      </c>
      <c r="F16" s="126">
        <v>59200</v>
      </c>
      <c r="G16" s="126">
        <v>51600</v>
      </c>
      <c r="H16" s="126">
        <v>357300</v>
      </c>
      <c r="I16" s="126">
        <v>97300</v>
      </c>
      <c r="J16" s="126">
        <v>212200</v>
      </c>
      <c r="K16" s="126">
        <v>33200</v>
      </c>
    </row>
    <row r="17" spans="2:11" x14ac:dyDescent="0.2">
      <c r="B17" s="138" t="s">
        <v>188</v>
      </c>
      <c r="C17" s="126">
        <v>5350</v>
      </c>
      <c r="D17" s="126">
        <v>76500</v>
      </c>
      <c r="E17" s="126">
        <v>64200</v>
      </c>
      <c r="F17" s="126">
        <v>60900</v>
      </c>
      <c r="G17" s="126">
        <v>52200</v>
      </c>
      <c r="H17" s="126">
        <v>343800</v>
      </c>
      <c r="I17" s="126">
        <v>62600</v>
      </c>
      <c r="J17" s="126">
        <v>211600</v>
      </c>
      <c r="K17" s="126">
        <v>29600</v>
      </c>
    </row>
    <row r="18" spans="2:11" x14ac:dyDescent="0.2">
      <c r="B18" s="138" t="s">
        <v>189</v>
      </c>
      <c r="C18" s="126">
        <v>2220</v>
      </c>
      <c r="D18" s="126">
        <v>83100</v>
      </c>
      <c r="E18" s="126">
        <v>70200</v>
      </c>
      <c r="F18" s="126">
        <v>66100</v>
      </c>
      <c r="G18" s="126">
        <v>56300</v>
      </c>
      <c r="H18" s="126">
        <v>453500</v>
      </c>
      <c r="I18" s="126">
        <v>134400</v>
      </c>
      <c r="J18" s="126">
        <v>291000</v>
      </c>
      <c r="K18" s="126">
        <v>48300</v>
      </c>
    </row>
    <row r="19" spans="2:11" x14ac:dyDescent="0.2">
      <c r="B19" s="125" t="s">
        <v>190</v>
      </c>
      <c r="C19" s="127">
        <v>76803</v>
      </c>
      <c r="D19" s="127">
        <v>89800</v>
      </c>
      <c r="E19" s="127">
        <v>70700</v>
      </c>
      <c r="F19" s="127">
        <v>71400</v>
      </c>
      <c r="G19" s="127">
        <v>57000</v>
      </c>
      <c r="H19" s="127">
        <v>472300</v>
      </c>
      <c r="I19" s="127">
        <v>102300</v>
      </c>
      <c r="J19" s="127">
        <v>293500</v>
      </c>
      <c r="K19" s="127">
        <v>37100</v>
      </c>
    </row>
    <row r="20" spans="2:11" x14ac:dyDescent="0.2">
      <c r="B20" s="138" t="s">
        <v>191</v>
      </c>
      <c r="C20" s="139">
        <v>11216</v>
      </c>
      <c r="D20" s="139">
        <v>93500</v>
      </c>
      <c r="E20" s="139">
        <v>72400</v>
      </c>
      <c r="F20" s="139">
        <v>75300</v>
      </c>
      <c r="G20" s="139">
        <v>58500</v>
      </c>
      <c r="H20" s="139">
        <v>492100</v>
      </c>
      <c r="I20" s="139">
        <v>86800</v>
      </c>
      <c r="J20" s="139">
        <v>335500</v>
      </c>
      <c r="K20" s="139">
        <v>43600</v>
      </c>
    </row>
    <row r="21" spans="2:11" x14ac:dyDescent="0.2">
      <c r="B21" s="138" t="s">
        <v>192</v>
      </c>
      <c r="C21" s="139">
        <v>887</v>
      </c>
      <c r="D21" s="139">
        <v>108800</v>
      </c>
      <c r="E21" s="139">
        <v>86800</v>
      </c>
      <c r="F21" s="139">
        <v>85800</v>
      </c>
      <c r="G21" s="139">
        <v>70000</v>
      </c>
      <c r="H21" s="139">
        <v>719400</v>
      </c>
      <c r="I21" s="139">
        <v>367200</v>
      </c>
      <c r="J21" s="139">
        <v>415300</v>
      </c>
      <c r="K21" s="139">
        <v>77800</v>
      </c>
    </row>
    <row r="22" spans="2:11" x14ac:dyDescent="0.2">
      <c r="B22" s="138" t="s">
        <v>193</v>
      </c>
      <c r="C22" s="139">
        <v>1435</v>
      </c>
      <c r="D22" s="139">
        <v>121200</v>
      </c>
      <c r="E22" s="139">
        <v>87600</v>
      </c>
      <c r="F22" s="139">
        <v>95700</v>
      </c>
      <c r="G22" s="139">
        <v>68300</v>
      </c>
      <c r="H22" s="139">
        <v>1059100</v>
      </c>
      <c r="I22" s="139">
        <v>507800</v>
      </c>
      <c r="J22" s="139">
        <v>689400</v>
      </c>
      <c r="K22" s="139">
        <v>111600</v>
      </c>
    </row>
    <row r="23" spans="2:11" x14ac:dyDescent="0.2">
      <c r="B23" s="138" t="s">
        <v>539</v>
      </c>
      <c r="C23" s="139">
        <v>1561</v>
      </c>
      <c r="D23" s="139">
        <v>99200</v>
      </c>
      <c r="E23" s="139">
        <v>79300</v>
      </c>
      <c r="F23" s="139">
        <v>78300</v>
      </c>
      <c r="G23" s="139">
        <v>63600</v>
      </c>
      <c r="H23" s="139">
        <v>531900</v>
      </c>
      <c r="I23" s="139">
        <v>276500</v>
      </c>
      <c r="J23" s="139">
        <v>268700</v>
      </c>
      <c r="K23" s="139">
        <v>47500</v>
      </c>
    </row>
    <row r="24" spans="2:11" x14ac:dyDescent="0.2">
      <c r="B24" s="138" t="s">
        <v>194</v>
      </c>
      <c r="C24" s="139">
        <v>2458</v>
      </c>
      <c r="D24" s="139">
        <v>89800</v>
      </c>
      <c r="E24" s="139">
        <v>74200</v>
      </c>
      <c r="F24" s="139">
        <v>69900</v>
      </c>
      <c r="G24" s="139">
        <v>58400</v>
      </c>
      <c r="H24" s="139">
        <v>487000</v>
      </c>
      <c r="I24" s="139">
        <v>293500</v>
      </c>
      <c r="J24" s="139">
        <v>267500</v>
      </c>
      <c r="K24" s="139">
        <v>50300</v>
      </c>
    </row>
    <row r="25" spans="2:11" x14ac:dyDescent="0.2">
      <c r="B25" s="138" t="s">
        <v>195</v>
      </c>
      <c r="C25" s="139">
        <v>1857</v>
      </c>
      <c r="D25" s="139">
        <v>117200</v>
      </c>
      <c r="E25" s="139">
        <v>84700</v>
      </c>
      <c r="F25" s="139">
        <v>94100</v>
      </c>
      <c r="G25" s="139">
        <v>68600</v>
      </c>
      <c r="H25" s="139">
        <v>818600</v>
      </c>
      <c r="I25" s="139">
        <v>303900</v>
      </c>
      <c r="J25" s="139">
        <v>545900</v>
      </c>
      <c r="K25" s="139">
        <v>80000</v>
      </c>
    </row>
    <row r="26" spans="2:11" x14ac:dyDescent="0.2">
      <c r="B26" s="138" t="s">
        <v>196</v>
      </c>
      <c r="C26" s="139">
        <v>3055</v>
      </c>
      <c r="D26" s="139">
        <v>84200</v>
      </c>
      <c r="E26" s="139">
        <v>68500</v>
      </c>
      <c r="F26" s="139">
        <v>66800</v>
      </c>
      <c r="G26" s="139">
        <v>55700</v>
      </c>
      <c r="H26" s="139">
        <v>386200</v>
      </c>
      <c r="I26" s="139">
        <v>90800</v>
      </c>
      <c r="J26" s="139">
        <v>223100</v>
      </c>
      <c r="K26" s="139">
        <v>43400</v>
      </c>
    </row>
    <row r="27" spans="2:11" x14ac:dyDescent="0.2">
      <c r="B27" s="138" t="s">
        <v>197</v>
      </c>
      <c r="C27" s="139">
        <v>517</v>
      </c>
      <c r="D27" s="139">
        <v>93600</v>
      </c>
      <c r="E27" s="139">
        <v>79700</v>
      </c>
      <c r="F27" s="139">
        <v>71500</v>
      </c>
      <c r="G27" s="139">
        <v>62700</v>
      </c>
      <c r="H27" s="139">
        <v>483000</v>
      </c>
      <c r="I27" s="139">
        <v>304400</v>
      </c>
      <c r="J27" s="139">
        <v>257000</v>
      </c>
      <c r="K27" s="139">
        <v>41500</v>
      </c>
    </row>
    <row r="28" spans="2:11" x14ac:dyDescent="0.2">
      <c r="B28" s="138" t="s">
        <v>198</v>
      </c>
      <c r="C28" s="139">
        <v>2763</v>
      </c>
      <c r="D28" s="139">
        <v>83600</v>
      </c>
      <c r="E28" s="139">
        <v>70900</v>
      </c>
      <c r="F28" s="139">
        <v>65000</v>
      </c>
      <c r="G28" s="139">
        <v>56300</v>
      </c>
      <c r="H28" s="139">
        <v>433300</v>
      </c>
      <c r="I28" s="139">
        <v>171000</v>
      </c>
      <c r="J28" s="139">
        <v>240500</v>
      </c>
      <c r="K28" s="139">
        <v>34800</v>
      </c>
    </row>
    <row r="29" spans="2:11" x14ac:dyDescent="0.2">
      <c r="B29" s="138" t="s">
        <v>199</v>
      </c>
      <c r="C29" s="139">
        <v>1024</v>
      </c>
      <c r="D29" s="139">
        <v>95900</v>
      </c>
      <c r="E29" s="139">
        <v>79500</v>
      </c>
      <c r="F29" s="139">
        <v>75800</v>
      </c>
      <c r="G29" s="139">
        <v>64200</v>
      </c>
      <c r="H29" s="139">
        <v>521300</v>
      </c>
      <c r="I29" s="139">
        <v>351700</v>
      </c>
      <c r="J29" s="139">
        <v>271800</v>
      </c>
      <c r="K29" s="139">
        <v>41500</v>
      </c>
    </row>
    <row r="30" spans="2:11" x14ac:dyDescent="0.2">
      <c r="B30" s="138" t="s">
        <v>200</v>
      </c>
      <c r="C30" s="139">
        <v>906</v>
      </c>
      <c r="D30" s="139">
        <v>87300</v>
      </c>
      <c r="E30" s="139">
        <v>73600</v>
      </c>
      <c r="F30" s="139">
        <v>67200</v>
      </c>
      <c r="G30" s="139">
        <v>57100</v>
      </c>
      <c r="H30" s="139">
        <v>452800</v>
      </c>
      <c r="I30" s="139">
        <v>294900</v>
      </c>
      <c r="J30" s="139">
        <v>222900</v>
      </c>
      <c r="K30" s="139">
        <v>46700</v>
      </c>
    </row>
    <row r="31" spans="2:11" x14ac:dyDescent="0.2">
      <c r="B31" s="138" t="s">
        <v>201</v>
      </c>
      <c r="C31" s="139">
        <v>1075</v>
      </c>
      <c r="D31" s="139">
        <v>90300</v>
      </c>
      <c r="E31" s="139">
        <v>73900</v>
      </c>
      <c r="F31" s="139">
        <v>69800</v>
      </c>
      <c r="G31" s="139">
        <v>58200</v>
      </c>
      <c r="H31" s="139">
        <v>475800</v>
      </c>
      <c r="I31" s="139">
        <v>221200</v>
      </c>
      <c r="J31" s="139">
        <v>253800</v>
      </c>
      <c r="K31" s="139">
        <v>26400</v>
      </c>
    </row>
    <row r="32" spans="2:11" x14ac:dyDescent="0.2">
      <c r="B32" s="138" t="s">
        <v>202</v>
      </c>
      <c r="C32" s="139">
        <v>2685</v>
      </c>
      <c r="D32" s="139">
        <v>82700</v>
      </c>
      <c r="E32" s="139">
        <v>66700</v>
      </c>
      <c r="F32" s="139">
        <v>65000</v>
      </c>
      <c r="G32" s="139">
        <v>53200</v>
      </c>
      <c r="H32" s="139">
        <v>363000</v>
      </c>
      <c r="I32" s="139">
        <v>70900</v>
      </c>
      <c r="J32" s="139">
        <v>200100</v>
      </c>
      <c r="K32" s="139">
        <v>24700</v>
      </c>
    </row>
    <row r="33" spans="2:11" x14ac:dyDescent="0.2">
      <c r="B33" s="138" t="s">
        <v>203</v>
      </c>
      <c r="C33" s="139">
        <v>4642</v>
      </c>
      <c r="D33" s="139">
        <v>67500</v>
      </c>
      <c r="E33" s="139">
        <v>60300</v>
      </c>
      <c r="F33" s="139">
        <v>53700</v>
      </c>
      <c r="G33" s="139">
        <v>48600</v>
      </c>
      <c r="H33" s="139">
        <v>213800</v>
      </c>
      <c r="I33" s="139">
        <v>25000</v>
      </c>
      <c r="J33" s="139">
        <v>132900</v>
      </c>
      <c r="K33" s="139">
        <v>12400</v>
      </c>
    </row>
    <row r="34" spans="2:11" x14ac:dyDescent="0.2">
      <c r="B34" s="138" t="s">
        <v>204</v>
      </c>
      <c r="C34" s="139">
        <v>2048</v>
      </c>
      <c r="D34" s="139">
        <v>97000</v>
      </c>
      <c r="E34" s="139">
        <v>78600</v>
      </c>
      <c r="F34" s="139">
        <v>76200</v>
      </c>
      <c r="G34" s="139">
        <v>62200</v>
      </c>
      <c r="H34" s="139">
        <v>502300</v>
      </c>
      <c r="I34" s="139">
        <v>214200</v>
      </c>
      <c r="J34" s="139">
        <v>302100</v>
      </c>
      <c r="K34" s="139">
        <v>53100</v>
      </c>
    </row>
    <row r="35" spans="2:11" x14ac:dyDescent="0.2">
      <c r="B35" s="138" t="s">
        <v>205</v>
      </c>
      <c r="C35" s="139">
        <v>2297</v>
      </c>
      <c r="D35" s="139">
        <v>104400</v>
      </c>
      <c r="E35" s="139">
        <v>77400</v>
      </c>
      <c r="F35" s="139">
        <v>80200</v>
      </c>
      <c r="G35" s="139">
        <v>60500</v>
      </c>
      <c r="H35" s="139">
        <v>735800</v>
      </c>
      <c r="I35" s="139">
        <v>363300</v>
      </c>
      <c r="J35" s="139">
        <v>470900</v>
      </c>
      <c r="K35" s="139">
        <v>67800</v>
      </c>
    </row>
    <row r="36" spans="2:11" x14ac:dyDescent="0.2">
      <c r="B36" s="138" t="s">
        <v>206</v>
      </c>
      <c r="C36" s="139">
        <v>4742</v>
      </c>
      <c r="D36" s="139">
        <v>104300</v>
      </c>
      <c r="E36" s="139">
        <v>72100</v>
      </c>
      <c r="F36" s="139">
        <v>86700</v>
      </c>
      <c r="G36" s="139">
        <v>58900</v>
      </c>
      <c r="H36" s="139">
        <v>582900</v>
      </c>
      <c r="I36" s="139">
        <v>128000</v>
      </c>
      <c r="J36" s="139">
        <v>407200</v>
      </c>
      <c r="K36" s="139">
        <v>52800</v>
      </c>
    </row>
    <row r="37" spans="2:11" x14ac:dyDescent="0.2">
      <c r="B37" s="138" t="s">
        <v>207</v>
      </c>
      <c r="C37" s="139">
        <v>1084</v>
      </c>
      <c r="D37" s="139">
        <v>109900</v>
      </c>
      <c r="E37" s="139">
        <v>84800</v>
      </c>
      <c r="F37" s="139">
        <v>85000</v>
      </c>
      <c r="G37" s="139">
        <v>64000</v>
      </c>
      <c r="H37" s="139">
        <v>794600</v>
      </c>
      <c r="I37" s="139">
        <v>420100</v>
      </c>
      <c r="J37" s="139">
        <v>456600</v>
      </c>
      <c r="K37" s="139">
        <v>63300</v>
      </c>
    </row>
    <row r="38" spans="2:11" x14ac:dyDescent="0.2">
      <c r="B38" s="138" t="s">
        <v>208</v>
      </c>
      <c r="C38" s="139">
        <v>5646</v>
      </c>
      <c r="D38" s="139">
        <v>71100</v>
      </c>
      <c r="E38" s="139">
        <v>61700</v>
      </c>
      <c r="F38" s="139">
        <v>56800</v>
      </c>
      <c r="G38" s="139">
        <v>50200</v>
      </c>
      <c r="H38" s="139">
        <v>224100</v>
      </c>
      <c r="I38" s="139">
        <v>17100</v>
      </c>
      <c r="J38" s="139">
        <v>128900</v>
      </c>
      <c r="K38" s="139">
        <v>7600</v>
      </c>
    </row>
    <row r="39" spans="2:11" x14ac:dyDescent="0.2">
      <c r="B39" s="138" t="s">
        <v>540</v>
      </c>
      <c r="C39" s="139">
        <v>1055</v>
      </c>
      <c r="D39" s="139">
        <v>86300</v>
      </c>
      <c r="E39" s="139">
        <v>70400</v>
      </c>
      <c r="F39" s="139">
        <v>67100</v>
      </c>
      <c r="G39" s="139">
        <v>54600</v>
      </c>
      <c r="H39" s="139">
        <v>416500</v>
      </c>
      <c r="I39" s="139">
        <v>132100</v>
      </c>
      <c r="J39" s="139">
        <v>223200</v>
      </c>
      <c r="K39" s="139">
        <v>29200</v>
      </c>
    </row>
    <row r="40" spans="2:11" x14ac:dyDescent="0.2">
      <c r="B40" s="138" t="s">
        <v>209</v>
      </c>
      <c r="C40" s="139">
        <v>1651</v>
      </c>
      <c r="D40" s="139">
        <v>73900</v>
      </c>
      <c r="E40" s="139">
        <v>61300</v>
      </c>
      <c r="F40" s="139">
        <v>58400</v>
      </c>
      <c r="G40" s="139">
        <v>49200</v>
      </c>
      <c r="H40" s="139">
        <v>308800</v>
      </c>
      <c r="I40" s="139">
        <v>35100</v>
      </c>
      <c r="J40" s="139">
        <v>204700</v>
      </c>
      <c r="K40" s="139">
        <v>19900</v>
      </c>
    </row>
    <row r="41" spans="2:11" x14ac:dyDescent="0.2">
      <c r="B41" s="138" t="s">
        <v>210</v>
      </c>
      <c r="C41" s="139">
        <v>3831</v>
      </c>
      <c r="D41" s="139">
        <v>84700</v>
      </c>
      <c r="E41" s="139">
        <v>70000</v>
      </c>
      <c r="F41" s="139">
        <v>66400</v>
      </c>
      <c r="G41" s="139">
        <v>55800</v>
      </c>
      <c r="H41" s="139">
        <v>445800</v>
      </c>
      <c r="I41" s="139">
        <v>120700</v>
      </c>
      <c r="J41" s="139">
        <v>276500</v>
      </c>
      <c r="K41" s="139">
        <v>37300</v>
      </c>
    </row>
    <row r="42" spans="2:11" x14ac:dyDescent="0.2">
      <c r="B42" s="138" t="s">
        <v>211</v>
      </c>
      <c r="C42" s="139">
        <v>12004</v>
      </c>
      <c r="D42" s="139">
        <v>86500</v>
      </c>
      <c r="E42" s="139">
        <v>68000</v>
      </c>
      <c r="F42" s="139">
        <v>69700</v>
      </c>
      <c r="G42" s="139">
        <v>55700</v>
      </c>
      <c r="H42" s="139">
        <v>438500</v>
      </c>
      <c r="I42" s="139">
        <v>77200</v>
      </c>
      <c r="J42" s="139">
        <v>289700</v>
      </c>
      <c r="K42" s="139">
        <v>39400</v>
      </c>
    </row>
    <row r="43" spans="2:11" x14ac:dyDescent="0.2">
      <c r="B43" s="138" t="s">
        <v>212</v>
      </c>
      <c r="C43" s="139">
        <v>806</v>
      </c>
      <c r="D43" s="139">
        <v>86200</v>
      </c>
      <c r="E43" s="139">
        <v>72000</v>
      </c>
      <c r="F43" s="139">
        <v>65800</v>
      </c>
      <c r="G43" s="139">
        <v>55900</v>
      </c>
      <c r="H43" s="139">
        <v>498200</v>
      </c>
      <c r="I43" s="139">
        <v>307900</v>
      </c>
      <c r="J43" s="139">
        <v>262600</v>
      </c>
      <c r="K43" s="139">
        <v>51400</v>
      </c>
    </row>
    <row r="44" spans="2:11" x14ac:dyDescent="0.2">
      <c r="B44" s="138" t="s">
        <v>213</v>
      </c>
      <c r="C44" s="139">
        <v>2341</v>
      </c>
      <c r="D44" s="139">
        <v>88400</v>
      </c>
      <c r="E44" s="139">
        <v>74300</v>
      </c>
      <c r="F44" s="139">
        <v>69300</v>
      </c>
      <c r="G44" s="139">
        <v>59300</v>
      </c>
      <c r="H44" s="139">
        <v>440500</v>
      </c>
      <c r="I44" s="139">
        <v>160700</v>
      </c>
      <c r="J44" s="139">
        <v>255400</v>
      </c>
      <c r="K44" s="139">
        <v>43000</v>
      </c>
    </row>
    <row r="45" spans="2:11" x14ac:dyDescent="0.2">
      <c r="B45" s="138" t="s">
        <v>214</v>
      </c>
      <c r="C45" s="139">
        <v>3217</v>
      </c>
      <c r="D45" s="139">
        <v>103000</v>
      </c>
      <c r="E45" s="139">
        <v>82700</v>
      </c>
      <c r="F45" s="139">
        <v>80900</v>
      </c>
      <c r="G45" s="139">
        <v>66400</v>
      </c>
      <c r="H45" s="139">
        <v>634100</v>
      </c>
      <c r="I45" s="139">
        <v>382600</v>
      </c>
      <c r="J45" s="139">
        <v>363500</v>
      </c>
      <c r="K45" s="139">
        <v>69900</v>
      </c>
    </row>
    <row r="46" spans="2:11" x14ac:dyDescent="0.2">
      <c r="B46" s="125" t="s">
        <v>215</v>
      </c>
      <c r="C46" s="127">
        <v>40604</v>
      </c>
      <c r="D46" s="127">
        <v>89400</v>
      </c>
      <c r="E46" s="127">
        <v>69800</v>
      </c>
      <c r="F46" s="127">
        <v>70100</v>
      </c>
      <c r="G46" s="127">
        <v>55200</v>
      </c>
      <c r="H46" s="127">
        <v>509900</v>
      </c>
      <c r="I46" s="127">
        <v>132000</v>
      </c>
      <c r="J46" s="127">
        <v>300200</v>
      </c>
      <c r="K46" s="127">
        <v>35700</v>
      </c>
    </row>
    <row r="47" spans="2:11" x14ac:dyDescent="0.2">
      <c r="B47" s="138" t="s">
        <v>541</v>
      </c>
      <c r="C47" s="139">
        <v>995</v>
      </c>
      <c r="D47" s="139">
        <v>113900</v>
      </c>
      <c r="E47" s="139">
        <v>91100</v>
      </c>
      <c r="F47" s="139">
        <v>87300</v>
      </c>
      <c r="G47" s="139">
        <v>68900</v>
      </c>
      <c r="H47" s="139">
        <v>809800</v>
      </c>
      <c r="I47" s="139">
        <v>393800</v>
      </c>
      <c r="J47" s="139">
        <v>463700</v>
      </c>
      <c r="K47" s="139">
        <v>61300</v>
      </c>
    </row>
    <row r="48" spans="2:11" x14ac:dyDescent="0.2">
      <c r="B48" s="138" t="s">
        <v>216</v>
      </c>
      <c r="C48" s="139">
        <v>2554</v>
      </c>
      <c r="D48" s="139">
        <v>94800</v>
      </c>
      <c r="E48" s="139">
        <v>75600</v>
      </c>
      <c r="F48" s="139">
        <v>75700</v>
      </c>
      <c r="G48" s="139">
        <v>61100</v>
      </c>
      <c r="H48" s="139">
        <v>595200</v>
      </c>
      <c r="I48" s="139">
        <v>88800</v>
      </c>
      <c r="J48" s="139">
        <v>393000</v>
      </c>
      <c r="K48" s="139">
        <v>43000</v>
      </c>
    </row>
    <row r="49" spans="2:11" x14ac:dyDescent="0.2">
      <c r="B49" s="138" t="s">
        <v>542</v>
      </c>
      <c r="C49" s="139">
        <v>3826</v>
      </c>
      <c r="D49" s="139">
        <v>79700</v>
      </c>
      <c r="E49" s="139">
        <v>65300</v>
      </c>
      <c r="F49" s="139">
        <v>63000</v>
      </c>
      <c r="G49" s="139">
        <v>52500</v>
      </c>
      <c r="H49" s="139">
        <v>368300</v>
      </c>
      <c r="I49" s="139">
        <v>56800</v>
      </c>
      <c r="J49" s="139">
        <v>215900</v>
      </c>
      <c r="K49" s="139">
        <v>28300</v>
      </c>
    </row>
    <row r="50" spans="2:11" x14ac:dyDescent="0.2">
      <c r="B50" s="138" t="s">
        <v>217</v>
      </c>
      <c r="C50" s="139">
        <v>528</v>
      </c>
      <c r="D50" s="139">
        <v>91600</v>
      </c>
      <c r="E50" s="139">
        <v>77600</v>
      </c>
      <c r="F50" s="139">
        <v>69500</v>
      </c>
      <c r="G50" s="139">
        <v>58200</v>
      </c>
      <c r="H50" s="139">
        <v>458300</v>
      </c>
      <c r="I50" s="139">
        <v>362200</v>
      </c>
      <c r="J50" s="139">
        <v>189900</v>
      </c>
      <c r="K50" s="139">
        <v>27900</v>
      </c>
    </row>
    <row r="51" spans="2:11" x14ac:dyDescent="0.2">
      <c r="B51" s="138" t="s">
        <v>218</v>
      </c>
      <c r="C51" s="139">
        <v>2057</v>
      </c>
      <c r="D51" s="139">
        <v>75500</v>
      </c>
      <c r="E51" s="139">
        <v>66300</v>
      </c>
      <c r="F51" s="139">
        <v>58700</v>
      </c>
      <c r="G51" s="139">
        <v>52300</v>
      </c>
      <c r="H51" s="139">
        <v>346700</v>
      </c>
      <c r="I51" s="139">
        <v>67800</v>
      </c>
      <c r="J51" s="139">
        <v>206800</v>
      </c>
      <c r="K51" s="139">
        <v>23500</v>
      </c>
    </row>
    <row r="52" spans="2:11" x14ac:dyDescent="0.2">
      <c r="B52" s="138" t="s">
        <v>219</v>
      </c>
      <c r="C52" s="139">
        <v>501</v>
      </c>
      <c r="D52" s="139">
        <v>99100</v>
      </c>
      <c r="E52" s="139">
        <v>82700</v>
      </c>
      <c r="F52" s="139">
        <v>75200</v>
      </c>
      <c r="G52" s="139">
        <v>64000</v>
      </c>
      <c r="H52" s="139">
        <v>557100</v>
      </c>
      <c r="I52" s="139">
        <v>414600</v>
      </c>
      <c r="J52" s="139">
        <v>259000</v>
      </c>
      <c r="K52" s="139">
        <v>38900</v>
      </c>
    </row>
    <row r="53" spans="2:11" x14ac:dyDescent="0.2">
      <c r="B53" s="138" t="s">
        <v>220</v>
      </c>
      <c r="C53" s="139">
        <v>898</v>
      </c>
      <c r="D53" s="139">
        <v>83400</v>
      </c>
      <c r="E53" s="139">
        <v>69100</v>
      </c>
      <c r="F53" s="139">
        <v>62900</v>
      </c>
      <c r="G53" s="139">
        <v>53500</v>
      </c>
      <c r="H53" s="139">
        <v>453100</v>
      </c>
      <c r="I53" s="139">
        <v>204700</v>
      </c>
      <c r="J53" s="139">
        <v>235800</v>
      </c>
      <c r="K53" s="139">
        <v>33400</v>
      </c>
    </row>
    <row r="54" spans="2:11" x14ac:dyDescent="0.2">
      <c r="B54" s="138" t="s">
        <v>221</v>
      </c>
      <c r="C54" s="139">
        <v>1301</v>
      </c>
      <c r="D54" s="139">
        <v>89100</v>
      </c>
      <c r="E54" s="139">
        <v>71300</v>
      </c>
      <c r="F54" s="139">
        <v>68900</v>
      </c>
      <c r="G54" s="139">
        <v>55600</v>
      </c>
      <c r="H54" s="139">
        <v>529400</v>
      </c>
      <c r="I54" s="139">
        <v>342300</v>
      </c>
      <c r="J54" s="139">
        <v>304800</v>
      </c>
      <c r="K54" s="139">
        <v>53000</v>
      </c>
    </row>
    <row r="55" spans="2:11" x14ac:dyDescent="0.2">
      <c r="B55" s="138" t="s">
        <v>222</v>
      </c>
      <c r="C55" s="139">
        <v>644</v>
      </c>
      <c r="D55" s="139">
        <v>85600</v>
      </c>
      <c r="E55" s="139">
        <v>70800</v>
      </c>
      <c r="F55" s="139">
        <v>65400</v>
      </c>
      <c r="G55" s="139">
        <v>54600</v>
      </c>
      <c r="H55" s="139">
        <v>400500</v>
      </c>
      <c r="I55" s="139">
        <v>79300</v>
      </c>
      <c r="J55" s="139">
        <v>201200</v>
      </c>
      <c r="K55" s="139">
        <v>23600</v>
      </c>
    </row>
    <row r="56" spans="2:11" x14ac:dyDescent="0.2">
      <c r="B56" s="138" t="s">
        <v>223</v>
      </c>
      <c r="C56" s="139">
        <v>333</v>
      </c>
      <c r="D56" s="139">
        <v>108500</v>
      </c>
      <c r="E56" s="139">
        <v>89700</v>
      </c>
      <c r="F56" s="139">
        <v>84300</v>
      </c>
      <c r="G56" s="139">
        <v>69600</v>
      </c>
      <c r="H56" s="139">
        <v>643400</v>
      </c>
      <c r="I56" s="139">
        <v>362000</v>
      </c>
      <c r="J56" s="139">
        <v>314700</v>
      </c>
      <c r="K56" s="139">
        <v>52400</v>
      </c>
    </row>
    <row r="57" spans="2:11" x14ac:dyDescent="0.2">
      <c r="B57" s="138" t="s">
        <v>224</v>
      </c>
      <c r="C57" s="139">
        <v>1031</v>
      </c>
      <c r="D57" s="139">
        <v>107100</v>
      </c>
      <c r="E57" s="139">
        <v>82200</v>
      </c>
      <c r="F57" s="139">
        <v>84200</v>
      </c>
      <c r="G57" s="139">
        <v>64200</v>
      </c>
      <c r="H57" s="139">
        <v>580500</v>
      </c>
      <c r="I57" s="139">
        <v>357300</v>
      </c>
      <c r="J57" s="139">
        <v>281200</v>
      </c>
      <c r="K57" s="139">
        <v>55200</v>
      </c>
    </row>
    <row r="58" spans="2:11" x14ac:dyDescent="0.2">
      <c r="B58" s="138" t="s">
        <v>543</v>
      </c>
      <c r="C58" s="139">
        <v>1421</v>
      </c>
      <c r="D58" s="139">
        <v>88800</v>
      </c>
      <c r="E58" s="139">
        <v>70400</v>
      </c>
      <c r="F58" s="139">
        <v>69100</v>
      </c>
      <c r="G58" s="139">
        <v>54100</v>
      </c>
      <c r="H58" s="139">
        <v>448800</v>
      </c>
      <c r="I58" s="139">
        <v>216300</v>
      </c>
      <c r="J58" s="139">
        <v>239800</v>
      </c>
      <c r="K58" s="139">
        <v>28500</v>
      </c>
    </row>
    <row r="59" spans="2:11" x14ac:dyDescent="0.2">
      <c r="B59" s="138" t="s">
        <v>225</v>
      </c>
      <c r="C59" s="139">
        <v>1096</v>
      </c>
      <c r="D59" s="139">
        <v>116600</v>
      </c>
      <c r="E59" s="139">
        <v>86200</v>
      </c>
      <c r="F59" s="139">
        <v>91100</v>
      </c>
      <c r="G59" s="139">
        <v>67500</v>
      </c>
      <c r="H59" s="139">
        <v>787500</v>
      </c>
      <c r="I59" s="139">
        <v>318000</v>
      </c>
      <c r="J59" s="139">
        <v>457900</v>
      </c>
      <c r="K59" s="139">
        <v>80300</v>
      </c>
    </row>
    <row r="60" spans="2:11" x14ac:dyDescent="0.2">
      <c r="B60" s="138" t="s">
        <v>226</v>
      </c>
      <c r="C60" s="139">
        <v>1206</v>
      </c>
      <c r="D60" s="139">
        <v>151100</v>
      </c>
      <c r="E60" s="139">
        <v>85600</v>
      </c>
      <c r="F60" s="139">
        <v>122900</v>
      </c>
      <c r="G60" s="139">
        <v>65400</v>
      </c>
      <c r="H60" s="139">
        <v>1422000</v>
      </c>
      <c r="I60" s="139">
        <v>526500</v>
      </c>
      <c r="J60" s="139">
        <v>948500</v>
      </c>
      <c r="K60" s="139">
        <v>138400</v>
      </c>
    </row>
    <row r="61" spans="2:11" x14ac:dyDescent="0.2">
      <c r="B61" s="138" t="s">
        <v>227</v>
      </c>
      <c r="C61" s="139">
        <v>2422</v>
      </c>
      <c r="D61" s="139">
        <v>88700</v>
      </c>
      <c r="E61" s="139">
        <v>69800</v>
      </c>
      <c r="F61" s="139">
        <v>70300</v>
      </c>
      <c r="G61" s="139">
        <v>56600</v>
      </c>
      <c r="H61" s="139">
        <v>478100</v>
      </c>
      <c r="I61" s="139">
        <v>95500</v>
      </c>
      <c r="J61" s="139">
        <v>284700</v>
      </c>
      <c r="K61" s="139">
        <v>28900</v>
      </c>
    </row>
    <row r="62" spans="2:11" x14ac:dyDescent="0.2">
      <c r="B62" s="138" t="s">
        <v>228</v>
      </c>
      <c r="C62" s="139">
        <v>1485</v>
      </c>
      <c r="D62" s="139">
        <v>85400</v>
      </c>
      <c r="E62" s="139">
        <v>69000</v>
      </c>
      <c r="F62" s="139">
        <v>65000</v>
      </c>
      <c r="G62" s="139">
        <v>52100</v>
      </c>
      <c r="H62" s="139">
        <v>466500</v>
      </c>
      <c r="I62" s="139">
        <v>232400</v>
      </c>
      <c r="J62" s="139">
        <v>247600</v>
      </c>
      <c r="K62" s="139">
        <v>40000</v>
      </c>
    </row>
    <row r="63" spans="2:11" x14ac:dyDescent="0.2">
      <c r="B63" s="138" t="s">
        <v>229</v>
      </c>
      <c r="C63" s="139">
        <v>732</v>
      </c>
      <c r="D63" s="139">
        <v>87100</v>
      </c>
      <c r="E63" s="139">
        <v>74800</v>
      </c>
      <c r="F63" s="139">
        <v>66700</v>
      </c>
      <c r="G63" s="139">
        <v>57100</v>
      </c>
      <c r="H63" s="139">
        <v>456500</v>
      </c>
      <c r="I63" s="139">
        <v>278800</v>
      </c>
      <c r="J63" s="139">
        <v>225600</v>
      </c>
      <c r="K63" s="139">
        <v>45200</v>
      </c>
    </row>
    <row r="64" spans="2:11" x14ac:dyDescent="0.2">
      <c r="B64" s="138" t="s">
        <v>230</v>
      </c>
      <c r="C64" s="139">
        <v>216</v>
      </c>
      <c r="D64" s="139">
        <v>85200</v>
      </c>
      <c r="E64" s="139">
        <v>72200</v>
      </c>
      <c r="F64" s="139">
        <v>63500</v>
      </c>
      <c r="G64" s="139">
        <v>55800</v>
      </c>
      <c r="H64" s="139">
        <v>431100</v>
      </c>
      <c r="I64" s="139">
        <v>394600</v>
      </c>
      <c r="J64" s="139">
        <v>178800</v>
      </c>
      <c r="K64" s="139">
        <v>43100</v>
      </c>
    </row>
    <row r="65" spans="2:11" x14ac:dyDescent="0.2">
      <c r="B65" s="138" t="s">
        <v>231</v>
      </c>
      <c r="C65" s="139">
        <v>714</v>
      </c>
      <c r="D65" s="139">
        <v>97400</v>
      </c>
      <c r="E65" s="139">
        <v>80900</v>
      </c>
      <c r="F65" s="139">
        <v>75400</v>
      </c>
      <c r="G65" s="139">
        <v>63000</v>
      </c>
      <c r="H65" s="139">
        <v>599900</v>
      </c>
      <c r="I65" s="139">
        <v>277900</v>
      </c>
      <c r="J65" s="139">
        <v>334600</v>
      </c>
      <c r="K65" s="139">
        <v>63700</v>
      </c>
    </row>
    <row r="66" spans="2:11" x14ac:dyDescent="0.2">
      <c r="B66" s="138" t="s">
        <v>232</v>
      </c>
      <c r="C66" s="139">
        <v>3816</v>
      </c>
      <c r="D66" s="139">
        <v>79300</v>
      </c>
      <c r="E66" s="139">
        <v>66200</v>
      </c>
      <c r="F66" s="139">
        <v>61600</v>
      </c>
      <c r="G66" s="139">
        <v>52700</v>
      </c>
      <c r="H66" s="139">
        <v>359000</v>
      </c>
      <c r="I66" s="139">
        <v>82600</v>
      </c>
      <c r="J66" s="139">
        <v>194500</v>
      </c>
      <c r="K66" s="139">
        <v>24500</v>
      </c>
    </row>
    <row r="67" spans="2:11" x14ac:dyDescent="0.2">
      <c r="B67" s="138" t="s">
        <v>233</v>
      </c>
      <c r="C67" s="139">
        <v>2069</v>
      </c>
      <c r="D67" s="139">
        <v>114700</v>
      </c>
      <c r="E67" s="139">
        <v>78700</v>
      </c>
      <c r="F67" s="139">
        <v>93800</v>
      </c>
      <c r="G67" s="139">
        <v>62800</v>
      </c>
      <c r="H67" s="139">
        <v>767200</v>
      </c>
      <c r="I67" s="139">
        <v>242000</v>
      </c>
      <c r="J67" s="139">
        <v>511000</v>
      </c>
      <c r="K67" s="139">
        <v>86500</v>
      </c>
    </row>
    <row r="68" spans="2:11" x14ac:dyDescent="0.2">
      <c r="B68" s="138" t="s">
        <v>544</v>
      </c>
      <c r="C68" s="139">
        <v>8292</v>
      </c>
      <c r="D68" s="139">
        <v>75100</v>
      </c>
      <c r="E68" s="139">
        <v>61000</v>
      </c>
      <c r="F68" s="139">
        <v>58800</v>
      </c>
      <c r="G68" s="139">
        <v>49100</v>
      </c>
      <c r="H68" s="139">
        <v>393900</v>
      </c>
      <c r="I68" s="139">
        <v>64400</v>
      </c>
      <c r="J68" s="139">
        <v>235100</v>
      </c>
      <c r="K68" s="139">
        <v>21200</v>
      </c>
    </row>
    <row r="69" spans="2:11" x14ac:dyDescent="0.2">
      <c r="B69" s="138" t="s">
        <v>234</v>
      </c>
      <c r="C69" s="139">
        <v>2467</v>
      </c>
      <c r="D69" s="139">
        <v>93900</v>
      </c>
      <c r="E69" s="139">
        <v>73500</v>
      </c>
      <c r="F69" s="139">
        <v>73500</v>
      </c>
      <c r="G69" s="139">
        <v>57500</v>
      </c>
      <c r="H69" s="139">
        <v>576500</v>
      </c>
      <c r="I69" s="139">
        <v>178100</v>
      </c>
      <c r="J69" s="139">
        <v>355400</v>
      </c>
      <c r="K69" s="139">
        <v>48100</v>
      </c>
    </row>
    <row r="70" spans="2:11" x14ac:dyDescent="0.2">
      <c r="B70" s="125" t="s">
        <v>235</v>
      </c>
      <c r="C70" s="127">
        <v>27188</v>
      </c>
      <c r="D70" s="127">
        <v>82800</v>
      </c>
      <c r="E70" s="127">
        <v>68500</v>
      </c>
      <c r="F70" s="127">
        <v>64700</v>
      </c>
      <c r="G70" s="127">
        <v>54400</v>
      </c>
      <c r="H70" s="127">
        <v>449900</v>
      </c>
      <c r="I70" s="127">
        <v>148000</v>
      </c>
      <c r="J70" s="127">
        <v>278000</v>
      </c>
      <c r="K70" s="127">
        <v>41800</v>
      </c>
    </row>
    <row r="71" spans="2:11" x14ac:dyDescent="0.2">
      <c r="B71" s="138" t="s">
        <v>236</v>
      </c>
      <c r="C71" s="139">
        <v>925</v>
      </c>
      <c r="D71" s="139">
        <v>93900</v>
      </c>
      <c r="E71" s="139">
        <v>74800</v>
      </c>
      <c r="F71" s="139">
        <v>73300</v>
      </c>
      <c r="G71" s="139">
        <v>58100</v>
      </c>
      <c r="H71" s="139">
        <v>557400</v>
      </c>
      <c r="I71" s="139">
        <v>351200</v>
      </c>
      <c r="J71" s="139">
        <v>351000</v>
      </c>
      <c r="K71" s="139">
        <v>72300</v>
      </c>
    </row>
    <row r="72" spans="2:11" x14ac:dyDescent="0.2">
      <c r="B72" s="138" t="s">
        <v>237</v>
      </c>
      <c r="C72" s="139">
        <v>2154</v>
      </c>
      <c r="D72" s="139">
        <v>76900</v>
      </c>
      <c r="E72" s="139">
        <v>67500</v>
      </c>
      <c r="F72" s="139">
        <v>59900</v>
      </c>
      <c r="G72" s="139">
        <v>53500</v>
      </c>
      <c r="H72" s="139">
        <v>289800</v>
      </c>
      <c r="I72" s="139">
        <v>56900</v>
      </c>
      <c r="J72" s="139">
        <v>154800</v>
      </c>
      <c r="K72" s="139">
        <v>15800</v>
      </c>
    </row>
    <row r="73" spans="2:11" x14ac:dyDescent="0.2">
      <c r="B73" s="138" t="s">
        <v>238</v>
      </c>
      <c r="C73" s="139">
        <v>388</v>
      </c>
      <c r="D73" s="139">
        <v>87300</v>
      </c>
      <c r="E73" s="139">
        <v>75700</v>
      </c>
      <c r="F73" s="139">
        <v>65500</v>
      </c>
      <c r="G73" s="139">
        <v>56200</v>
      </c>
      <c r="H73" s="139">
        <v>463900</v>
      </c>
      <c r="I73" s="139">
        <v>391300</v>
      </c>
      <c r="J73" s="139">
        <v>232400</v>
      </c>
      <c r="K73" s="139">
        <v>36800</v>
      </c>
    </row>
    <row r="74" spans="2:11" x14ac:dyDescent="0.2">
      <c r="B74" s="138" t="s">
        <v>655</v>
      </c>
      <c r="C74" s="139">
        <v>903</v>
      </c>
      <c r="D74" s="139">
        <v>88000</v>
      </c>
      <c r="E74" s="139">
        <v>71200</v>
      </c>
      <c r="F74" s="139">
        <v>66800</v>
      </c>
      <c r="G74" s="139">
        <v>55400</v>
      </c>
      <c r="H74" s="139">
        <v>579800</v>
      </c>
      <c r="I74" s="139">
        <v>349300</v>
      </c>
      <c r="J74" s="139">
        <v>336800</v>
      </c>
      <c r="K74" s="139">
        <v>74100</v>
      </c>
    </row>
    <row r="75" spans="2:11" x14ac:dyDescent="0.2">
      <c r="B75" s="138" t="s">
        <v>239</v>
      </c>
      <c r="C75" s="139">
        <v>439</v>
      </c>
      <c r="D75" s="139">
        <v>75600</v>
      </c>
      <c r="E75" s="139">
        <v>64400</v>
      </c>
      <c r="F75" s="139">
        <v>56900</v>
      </c>
      <c r="G75" s="139">
        <v>51000</v>
      </c>
      <c r="H75" s="139">
        <v>417500</v>
      </c>
      <c r="I75" s="139">
        <v>198000</v>
      </c>
      <c r="J75" s="139">
        <v>206800</v>
      </c>
      <c r="K75" s="139">
        <v>45900</v>
      </c>
    </row>
    <row r="76" spans="2:11" x14ac:dyDescent="0.2">
      <c r="B76" s="138" t="s">
        <v>240</v>
      </c>
      <c r="C76" s="139">
        <v>6420</v>
      </c>
      <c r="D76" s="139">
        <v>80600</v>
      </c>
      <c r="E76" s="139">
        <v>65000</v>
      </c>
      <c r="F76" s="139">
        <v>64500</v>
      </c>
      <c r="G76" s="139">
        <v>52300</v>
      </c>
      <c r="H76" s="139">
        <v>436900</v>
      </c>
      <c r="I76" s="139">
        <v>83900</v>
      </c>
      <c r="J76" s="139">
        <v>305900</v>
      </c>
      <c r="K76" s="139">
        <v>39900</v>
      </c>
    </row>
    <row r="77" spans="2:11" x14ac:dyDescent="0.2">
      <c r="B77" s="138" t="s">
        <v>241</v>
      </c>
      <c r="C77" s="139">
        <v>335</v>
      </c>
      <c r="D77" s="139">
        <v>85200</v>
      </c>
      <c r="E77" s="139">
        <v>70500</v>
      </c>
      <c r="F77" s="139">
        <v>64200</v>
      </c>
      <c r="G77" s="139">
        <v>51100</v>
      </c>
      <c r="H77" s="139">
        <v>502100</v>
      </c>
      <c r="I77" s="139">
        <v>363000</v>
      </c>
      <c r="J77" s="139">
        <v>255400</v>
      </c>
      <c r="K77" s="139">
        <v>76400</v>
      </c>
    </row>
    <row r="78" spans="2:11" x14ac:dyDescent="0.2">
      <c r="B78" s="138" t="s">
        <v>242</v>
      </c>
      <c r="C78" s="139">
        <v>150</v>
      </c>
      <c r="D78" s="139">
        <v>89400</v>
      </c>
      <c r="E78" s="139">
        <v>73900</v>
      </c>
      <c r="F78" s="139">
        <v>65700</v>
      </c>
      <c r="G78" s="139">
        <v>58500</v>
      </c>
      <c r="H78" s="139">
        <v>506900</v>
      </c>
      <c r="I78" s="139">
        <v>438000</v>
      </c>
      <c r="J78" s="139">
        <v>215800</v>
      </c>
      <c r="K78" s="139">
        <v>32000</v>
      </c>
    </row>
    <row r="79" spans="2:11" x14ac:dyDescent="0.2">
      <c r="B79" s="138" t="s">
        <v>243</v>
      </c>
      <c r="C79" s="139">
        <v>237</v>
      </c>
      <c r="D79" s="139">
        <v>112300</v>
      </c>
      <c r="E79" s="139">
        <v>89800</v>
      </c>
      <c r="F79" s="139">
        <v>83800</v>
      </c>
      <c r="G79" s="139">
        <v>67100</v>
      </c>
      <c r="H79" s="139">
        <v>676600</v>
      </c>
      <c r="I79" s="139">
        <v>352700</v>
      </c>
      <c r="J79" s="139">
        <v>339100</v>
      </c>
      <c r="K79" s="139">
        <v>58200</v>
      </c>
    </row>
    <row r="80" spans="2:11" x14ac:dyDescent="0.2">
      <c r="B80" s="138" t="s">
        <v>545</v>
      </c>
      <c r="C80" s="139">
        <v>1870</v>
      </c>
      <c r="D80" s="139">
        <v>90600</v>
      </c>
      <c r="E80" s="139">
        <v>72000</v>
      </c>
      <c r="F80" s="139">
        <v>70800</v>
      </c>
      <c r="G80" s="139">
        <v>56900</v>
      </c>
      <c r="H80" s="139">
        <v>448100</v>
      </c>
      <c r="I80" s="139">
        <v>135600</v>
      </c>
      <c r="J80" s="139">
        <v>264600</v>
      </c>
      <c r="K80" s="139">
        <v>36200</v>
      </c>
    </row>
    <row r="81" spans="2:11" x14ac:dyDescent="0.2">
      <c r="B81" s="138" t="s">
        <v>244</v>
      </c>
      <c r="C81" s="139">
        <v>1263</v>
      </c>
      <c r="D81" s="139">
        <v>86900</v>
      </c>
      <c r="E81" s="139">
        <v>73300</v>
      </c>
      <c r="F81" s="139">
        <v>68100</v>
      </c>
      <c r="G81" s="139">
        <v>58600</v>
      </c>
      <c r="H81" s="139">
        <v>454900</v>
      </c>
      <c r="I81" s="139">
        <v>261600</v>
      </c>
      <c r="J81" s="139">
        <v>269100</v>
      </c>
      <c r="K81" s="139">
        <v>50000</v>
      </c>
    </row>
    <row r="82" spans="2:11" x14ac:dyDescent="0.2">
      <c r="B82" s="138" t="s">
        <v>245</v>
      </c>
      <c r="C82" s="139">
        <v>174</v>
      </c>
      <c r="D82" s="139">
        <v>79800</v>
      </c>
      <c r="E82" s="139">
        <v>62400</v>
      </c>
      <c r="F82" s="139">
        <v>62200</v>
      </c>
      <c r="G82" s="139">
        <v>47200</v>
      </c>
      <c r="H82" s="139">
        <v>483500</v>
      </c>
      <c r="I82" s="139">
        <v>334000</v>
      </c>
      <c r="J82" s="139">
        <v>321400</v>
      </c>
      <c r="K82" s="139">
        <v>61600</v>
      </c>
    </row>
    <row r="83" spans="2:11" x14ac:dyDescent="0.2">
      <c r="B83" s="138" t="s">
        <v>246</v>
      </c>
      <c r="C83" s="139">
        <v>222</v>
      </c>
      <c r="D83" s="139">
        <v>81200</v>
      </c>
      <c r="E83" s="139">
        <v>71700</v>
      </c>
      <c r="F83" s="139">
        <v>61100</v>
      </c>
      <c r="G83" s="139">
        <v>55500</v>
      </c>
      <c r="H83" s="139">
        <v>473400</v>
      </c>
      <c r="I83" s="139">
        <v>406800</v>
      </c>
      <c r="J83" s="139">
        <v>244600</v>
      </c>
      <c r="K83" s="139">
        <v>76700</v>
      </c>
    </row>
    <row r="84" spans="2:11" x14ac:dyDescent="0.2">
      <c r="B84" s="138" t="s">
        <v>247</v>
      </c>
      <c r="C84" s="139">
        <v>590</v>
      </c>
      <c r="D84" s="139">
        <v>83900</v>
      </c>
      <c r="E84" s="139">
        <v>71500</v>
      </c>
      <c r="F84" s="139">
        <v>64100</v>
      </c>
      <c r="G84" s="139">
        <v>56300</v>
      </c>
      <c r="H84" s="139">
        <v>382700</v>
      </c>
      <c r="I84" s="139">
        <v>151600</v>
      </c>
      <c r="J84" s="139">
        <v>204700</v>
      </c>
      <c r="K84" s="139">
        <v>31600</v>
      </c>
    </row>
    <row r="85" spans="2:11" x14ac:dyDescent="0.2">
      <c r="B85" s="138" t="s">
        <v>248</v>
      </c>
      <c r="C85" s="139">
        <v>268</v>
      </c>
      <c r="D85" s="139">
        <v>80100</v>
      </c>
      <c r="E85" s="139">
        <v>63200</v>
      </c>
      <c r="F85" s="139">
        <v>61800</v>
      </c>
      <c r="G85" s="139">
        <v>51500</v>
      </c>
      <c r="H85" s="139">
        <v>552500</v>
      </c>
      <c r="I85" s="139">
        <v>391100</v>
      </c>
      <c r="J85" s="139">
        <v>344300</v>
      </c>
      <c r="K85" s="139">
        <v>70000</v>
      </c>
    </row>
    <row r="86" spans="2:11" x14ac:dyDescent="0.2">
      <c r="B86" s="138" t="s">
        <v>249</v>
      </c>
      <c r="C86" s="139">
        <v>574</v>
      </c>
      <c r="D86" s="139">
        <v>92900</v>
      </c>
      <c r="E86" s="139">
        <v>78400</v>
      </c>
      <c r="F86" s="139">
        <v>71700</v>
      </c>
      <c r="G86" s="139">
        <v>61000</v>
      </c>
      <c r="H86" s="139">
        <v>553600</v>
      </c>
      <c r="I86" s="139">
        <v>395200</v>
      </c>
      <c r="J86" s="139">
        <v>323900</v>
      </c>
      <c r="K86" s="139">
        <v>75800</v>
      </c>
    </row>
    <row r="87" spans="2:11" x14ac:dyDescent="0.2">
      <c r="B87" s="138" t="s">
        <v>250</v>
      </c>
      <c r="C87" s="139">
        <v>814</v>
      </c>
      <c r="D87" s="139">
        <v>84800</v>
      </c>
      <c r="E87" s="139">
        <v>71800</v>
      </c>
      <c r="F87" s="139">
        <v>66400</v>
      </c>
      <c r="G87" s="139">
        <v>56400</v>
      </c>
      <c r="H87" s="139">
        <v>556500</v>
      </c>
      <c r="I87" s="139">
        <v>286300</v>
      </c>
      <c r="J87" s="139">
        <v>370700</v>
      </c>
      <c r="K87" s="139">
        <v>56200</v>
      </c>
    </row>
    <row r="88" spans="2:11" x14ac:dyDescent="0.2">
      <c r="B88" s="138" t="s">
        <v>251</v>
      </c>
      <c r="C88" s="139">
        <v>479</v>
      </c>
      <c r="D88" s="139">
        <v>86800</v>
      </c>
      <c r="E88" s="139">
        <v>72100</v>
      </c>
      <c r="F88" s="139">
        <v>65200</v>
      </c>
      <c r="G88" s="139">
        <v>55700</v>
      </c>
      <c r="H88" s="139">
        <v>506100</v>
      </c>
      <c r="I88" s="139">
        <v>416300</v>
      </c>
      <c r="J88" s="139">
        <v>266800</v>
      </c>
      <c r="K88" s="139">
        <v>70500</v>
      </c>
    </row>
    <row r="89" spans="2:11" x14ac:dyDescent="0.2">
      <c r="B89" s="138" t="s">
        <v>252</v>
      </c>
      <c r="C89" s="139">
        <v>377</v>
      </c>
      <c r="D89" s="139">
        <v>83400</v>
      </c>
      <c r="E89" s="139">
        <v>73400</v>
      </c>
      <c r="F89" s="139">
        <v>63700</v>
      </c>
      <c r="G89" s="139">
        <v>55000</v>
      </c>
      <c r="H89" s="139">
        <v>552600</v>
      </c>
      <c r="I89" s="139">
        <v>307400</v>
      </c>
      <c r="J89" s="139">
        <v>317200</v>
      </c>
      <c r="K89" s="139">
        <v>65600</v>
      </c>
    </row>
    <row r="90" spans="2:11" x14ac:dyDescent="0.2">
      <c r="B90" s="138" t="s">
        <v>253</v>
      </c>
      <c r="C90" s="139">
        <v>670</v>
      </c>
      <c r="D90" s="139">
        <v>78400</v>
      </c>
      <c r="E90" s="139">
        <v>64100</v>
      </c>
      <c r="F90" s="139">
        <v>61300</v>
      </c>
      <c r="G90" s="139">
        <v>52000</v>
      </c>
      <c r="H90" s="139">
        <v>425000</v>
      </c>
      <c r="I90" s="139">
        <v>90900</v>
      </c>
      <c r="J90" s="139">
        <v>260400</v>
      </c>
      <c r="K90" s="139">
        <v>32400</v>
      </c>
    </row>
    <row r="91" spans="2:11" x14ac:dyDescent="0.2">
      <c r="B91" s="138" t="s">
        <v>254</v>
      </c>
      <c r="C91" s="139">
        <v>1001</v>
      </c>
      <c r="D91" s="139">
        <v>86100</v>
      </c>
      <c r="E91" s="139">
        <v>68100</v>
      </c>
      <c r="F91" s="139">
        <v>66500</v>
      </c>
      <c r="G91" s="139">
        <v>53700</v>
      </c>
      <c r="H91" s="139">
        <v>594800</v>
      </c>
      <c r="I91" s="139">
        <v>262600</v>
      </c>
      <c r="J91" s="139">
        <v>387100</v>
      </c>
      <c r="K91" s="139">
        <v>50800</v>
      </c>
    </row>
    <row r="92" spans="2:11" x14ac:dyDescent="0.2">
      <c r="B92" s="138" t="s">
        <v>546</v>
      </c>
      <c r="C92" s="139">
        <v>435</v>
      </c>
      <c r="D92" s="139">
        <v>83900</v>
      </c>
      <c r="E92" s="139">
        <v>73600</v>
      </c>
      <c r="F92" s="139">
        <v>64300</v>
      </c>
      <c r="G92" s="139">
        <v>56900</v>
      </c>
      <c r="H92" s="139">
        <v>543100</v>
      </c>
      <c r="I92" s="139">
        <v>421600</v>
      </c>
      <c r="J92" s="139">
        <v>339600</v>
      </c>
      <c r="K92" s="139">
        <v>121400</v>
      </c>
    </row>
    <row r="93" spans="2:11" x14ac:dyDescent="0.2">
      <c r="B93" s="138" t="s">
        <v>547</v>
      </c>
      <c r="C93" s="139">
        <v>771</v>
      </c>
      <c r="D93" s="139">
        <v>80100</v>
      </c>
      <c r="E93" s="139">
        <v>67100</v>
      </c>
      <c r="F93" s="139">
        <v>62000</v>
      </c>
      <c r="G93" s="139">
        <v>51600</v>
      </c>
      <c r="H93" s="139">
        <v>459000</v>
      </c>
      <c r="I93" s="139">
        <v>213500</v>
      </c>
      <c r="J93" s="139">
        <v>276300</v>
      </c>
      <c r="K93" s="139">
        <v>37000</v>
      </c>
    </row>
    <row r="94" spans="2:11" x14ac:dyDescent="0.2">
      <c r="B94" s="138" t="s">
        <v>255</v>
      </c>
      <c r="C94" s="139">
        <v>1102</v>
      </c>
      <c r="D94" s="139">
        <v>84100</v>
      </c>
      <c r="E94" s="139">
        <v>73300</v>
      </c>
      <c r="F94" s="139">
        <v>66000</v>
      </c>
      <c r="G94" s="139">
        <v>59000</v>
      </c>
      <c r="H94" s="139">
        <v>418300</v>
      </c>
      <c r="I94" s="139">
        <v>219900</v>
      </c>
      <c r="J94" s="139">
        <v>243500</v>
      </c>
      <c r="K94" s="139">
        <v>47000</v>
      </c>
    </row>
    <row r="95" spans="2:11" x14ac:dyDescent="0.2">
      <c r="B95" s="138" t="s">
        <v>256</v>
      </c>
      <c r="C95" s="139">
        <v>820</v>
      </c>
      <c r="D95" s="139">
        <v>83800</v>
      </c>
      <c r="E95" s="139">
        <v>72700</v>
      </c>
      <c r="F95" s="139">
        <v>63900</v>
      </c>
      <c r="G95" s="139">
        <v>56300</v>
      </c>
      <c r="H95" s="139">
        <v>527900</v>
      </c>
      <c r="I95" s="139">
        <v>395700</v>
      </c>
      <c r="J95" s="139">
        <v>281400</v>
      </c>
      <c r="K95" s="139">
        <v>52300</v>
      </c>
    </row>
    <row r="96" spans="2:11" x14ac:dyDescent="0.2">
      <c r="B96" s="138" t="s">
        <v>257</v>
      </c>
      <c r="C96" s="139">
        <v>3807</v>
      </c>
      <c r="D96" s="139">
        <v>76400</v>
      </c>
      <c r="E96" s="139">
        <v>63800</v>
      </c>
      <c r="F96" s="139">
        <v>60000</v>
      </c>
      <c r="G96" s="139">
        <v>51600</v>
      </c>
      <c r="H96" s="139">
        <v>377000</v>
      </c>
      <c r="I96" s="139">
        <v>63600</v>
      </c>
      <c r="J96" s="139">
        <v>246400</v>
      </c>
      <c r="K96" s="139">
        <v>35100</v>
      </c>
    </row>
    <row r="97" spans="2:11" x14ac:dyDescent="0.2">
      <c r="B97" s="125" t="s">
        <v>258</v>
      </c>
      <c r="C97" s="127">
        <v>21988</v>
      </c>
      <c r="D97" s="127">
        <v>74000</v>
      </c>
      <c r="E97" s="127">
        <v>61700</v>
      </c>
      <c r="F97" s="127">
        <v>57400</v>
      </c>
      <c r="G97" s="127">
        <v>49100</v>
      </c>
      <c r="H97" s="127">
        <v>411000</v>
      </c>
      <c r="I97" s="127">
        <v>153300</v>
      </c>
      <c r="J97" s="127">
        <v>241700</v>
      </c>
      <c r="K97" s="127">
        <v>31400</v>
      </c>
    </row>
    <row r="98" spans="2:11" x14ac:dyDescent="0.2">
      <c r="B98" s="138" t="s">
        <v>259</v>
      </c>
      <c r="C98" s="139">
        <v>1745</v>
      </c>
      <c r="D98" s="139">
        <v>88100</v>
      </c>
      <c r="E98" s="139">
        <v>67200</v>
      </c>
      <c r="F98" s="139">
        <v>67400</v>
      </c>
      <c r="G98" s="139">
        <v>51800</v>
      </c>
      <c r="H98" s="139">
        <v>576100</v>
      </c>
      <c r="I98" s="139">
        <v>319200</v>
      </c>
      <c r="J98" s="139">
        <v>345000</v>
      </c>
      <c r="K98" s="139">
        <v>51900</v>
      </c>
    </row>
    <row r="99" spans="2:11" x14ac:dyDescent="0.2">
      <c r="B99" s="138" t="s">
        <v>260</v>
      </c>
      <c r="C99" s="139">
        <v>626</v>
      </c>
      <c r="D99" s="139">
        <v>89800</v>
      </c>
      <c r="E99" s="139">
        <v>71000</v>
      </c>
      <c r="F99" s="139">
        <v>69000</v>
      </c>
      <c r="G99" s="139">
        <v>55000</v>
      </c>
      <c r="H99" s="139">
        <v>766400</v>
      </c>
      <c r="I99" s="139">
        <v>373100</v>
      </c>
      <c r="J99" s="139">
        <v>433400</v>
      </c>
      <c r="K99" s="139">
        <v>86200</v>
      </c>
    </row>
    <row r="100" spans="2:11" x14ac:dyDescent="0.2">
      <c r="B100" s="138" t="s">
        <v>548</v>
      </c>
      <c r="C100" s="139">
        <v>555</v>
      </c>
      <c r="D100" s="139">
        <v>68900</v>
      </c>
      <c r="E100" s="139">
        <v>60300</v>
      </c>
      <c r="F100" s="139">
        <v>53300</v>
      </c>
      <c r="G100" s="139">
        <v>47400</v>
      </c>
      <c r="H100" s="139">
        <v>330700</v>
      </c>
      <c r="I100" s="139">
        <v>113600</v>
      </c>
      <c r="J100" s="139">
        <v>192100</v>
      </c>
      <c r="K100" s="139">
        <v>21800</v>
      </c>
    </row>
    <row r="101" spans="2:11" x14ac:dyDescent="0.2">
      <c r="B101" s="138" t="s">
        <v>261</v>
      </c>
      <c r="C101" s="139">
        <v>666</v>
      </c>
      <c r="D101" s="139">
        <v>81700</v>
      </c>
      <c r="E101" s="139">
        <v>65500</v>
      </c>
      <c r="F101" s="139">
        <v>63500</v>
      </c>
      <c r="G101" s="139">
        <v>53900</v>
      </c>
      <c r="H101" s="139">
        <v>543600</v>
      </c>
      <c r="I101" s="139">
        <v>267700</v>
      </c>
      <c r="J101" s="139">
        <v>361500</v>
      </c>
      <c r="K101" s="139">
        <v>52300</v>
      </c>
    </row>
    <row r="102" spans="2:11" x14ac:dyDescent="0.2">
      <c r="B102" s="138" t="s">
        <v>262</v>
      </c>
      <c r="C102" s="139">
        <v>1151</v>
      </c>
      <c r="D102" s="139">
        <v>73200</v>
      </c>
      <c r="E102" s="139">
        <v>62800</v>
      </c>
      <c r="F102" s="139">
        <v>57000</v>
      </c>
      <c r="G102" s="139">
        <v>49800</v>
      </c>
      <c r="H102" s="139">
        <v>424200</v>
      </c>
      <c r="I102" s="139">
        <v>244100</v>
      </c>
      <c r="J102" s="139">
        <v>247600</v>
      </c>
      <c r="K102" s="139">
        <v>41600</v>
      </c>
    </row>
    <row r="103" spans="2:11" x14ac:dyDescent="0.2">
      <c r="B103" s="138" t="s">
        <v>263</v>
      </c>
      <c r="C103" s="139">
        <v>775</v>
      </c>
      <c r="D103" s="139">
        <v>76900</v>
      </c>
      <c r="E103" s="139">
        <v>65200</v>
      </c>
      <c r="F103" s="139">
        <v>59200</v>
      </c>
      <c r="G103" s="139">
        <v>51000</v>
      </c>
      <c r="H103" s="139">
        <v>350200</v>
      </c>
      <c r="I103" s="139">
        <v>67600</v>
      </c>
      <c r="J103" s="139">
        <v>197100</v>
      </c>
      <c r="K103" s="139">
        <v>34500</v>
      </c>
    </row>
    <row r="104" spans="2:11" x14ac:dyDescent="0.2">
      <c r="B104" s="138" t="s">
        <v>549</v>
      </c>
      <c r="C104" s="139">
        <v>242</v>
      </c>
      <c r="D104" s="139">
        <v>86300</v>
      </c>
      <c r="E104" s="139">
        <v>69400</v>
      </c>
      <c r="F104" s="139">
        <v>65900</v>
      </c>
      <c r="G104" s="139">
        <v>54600</v>
      </c>
      <c r="H104" s="139">
        <v>609700</v>
      </c>
      <c r="I104" s="139">
        <v>405100</v>
      </c>
      <c r="J104" s="139">
        <v>360200</v>
      </c>
      <c r="K104" s="139">
        <v>107500</v>
      </c>
    </row>
    <row r="105" spans="2:11" x14ac:dyDescent="0.2">
      <c r="B105" s="138" t="s">
        <v>264</v>
      </c>
      <c r="C105" s="139">
        <v>416</v>
      </c>
      <c r="D105" s="139">
        <v>83100</v>
      </c>
      <c r="E105" s="139">
        <v>72900</v>
      </c>
      <c r="F105" s="139">
        <v>63300</v>
      </c>
      <c r="G105" s="139">
        <v>57200</v>
      </c>
      <c r="H105" s="139">
        <v>477600</v>
      </c>
      <c r="I105" s="139">
        <v>369000</v>
      </c>
      <c r="J105" s="139">
        <v>247400</v>
      </c>
      <c r="K105" s="139">
        <v>57300</v>
      </c>
    </row>
    <row r="106" spans="2:11" x14ac:dyDescent="0.2">
      <c r="B106" s="138" t="s">
        <v>265</v>
      </c>
      <c r="C106" s="139">
        <v>3167</v>
      </c>
      <c r="D106" s="139">
        <v>68500</v>
      </c>
      <c r="E106" s="139">
        <v>57400</v>
      </c>
      <c r="F106" s="139">
        <v>53500</v>
      </c>
      <c r="G106" s="139">
        <v>46300</v>
      </c>
      <c r="H106" s="139">
        <v>340900</v>
      </c>
      <c r="I106" s="139">
        <v>62300</v>
      </c>
      <c r="J106" s="139">
        <v>207500</v>
      </c>
      <c r="K106" s="139">
        <v>17200</v>
      </c>
    </row>
    <row r="107" spans="2:11" x14ac:dyDescent="0.2">
      <c r="B107" s="138" t="s">
        <v>266</v>
      </c>
      <c r="C107" s="139">
        <v>1389</v>
      </c>
      <c r="D107" s="139">
        <v>75500</v>
      </c>
      <c r="E107" s="139">
        <v>63500</v>
      </c>
      <c r="F107" s="139">
        <v>58700</v>
      </c>
      <c r="G107" s="139">
        <v>49700</v>
      </c>
      <c r="H107" s="139">
        <v>430700</v>
      </c>
      <c r="I107" s="139">
        <v>203100</v>
      </c>
      <c r="J107" s="139">
        <v>254700</v>
      </c>
      <c r="K107" s="139">
        <v>38800</v>
      </c>
    </row>
    <row r="108" spans="2:11" x14ac:dyDescent="0.2">
      <c r="B108" s="138" t="s">
        <v>550</v>
      </c>
      <c r="C108" s="139">
        <v>4503</v>
      </c>
      <c r="D108" s="139">
        <v>67800</v>
      </c>
      <c r="E108" s="139">
        <v>58100</v>
      </c>
      <c r="F108" s="139">
        <v>53200</v>
      </c>
      <c r="G108" s="139">
        <v>46800</v>
      </c>
      <c r="H108" s="139">
        <v>349200</v>
      </c>
      <c r="I108" s="139">
        <v>63500</v>
      </c>
      <c r="J108" s="139">
        <v>212700</v>
      </c>
      <c r="K108" s="139">
        <v>17000</v>
      </c>
    </row>
    <row r="109" spans="2:11" x14ac:dyDescent="0.2">
      <c r="B109" s="138" t="s">
        <v>267</v>
      </c>
      <c r="C109" s="139">
        <v>463</v>
      </c>
      <c r="D109" s="139">
        <v>69800</v>
      </c>
      <c r="E109" s="139">
        <v>58800</v>
      </c>
      <c r="F109" s="139">
        <v>52200</v>
      </c>
      <c r="G109" s="139">
        <v>44600</v>
      </c>
      <c r="H109" s="139">
        <v>376000</v>
      </c>
      <c r="I109" s="139">
        <v>258300</v>
      </c>
      <c r="J109" s="139">
        <v>191900</v>
      </c>
      <c r="K109" s="139">
        <v>41700</v>
      </c>
    </row>
    <row r="110" spans="2:11" x14ac:dyDescent="0.2">
      <c r="B110" s="138" t="s">
        <v>268</v>
      </c>
      <c r="C110" s="139">
        <v>671</v>
      </c>
      <c r="D110" s="139">
        <v>69000</v>
      </c>
      <c r="E110" s="139">
        <v>59800</v>
      </c>
      <c r="F110" s="139">
        <v>50800</v>
      </c>
      <c r="G110" s="139">
        <v>45800</v>
      </c>
      <c r="H110" s="139">
        <v>372000</v>
      </c>
      <c r="I110" s="139">
        <v>255800</v>
      </c>
      <c r="J110" s="139">
        <v>185800</v>
      </c>
      <c r="K110" s="139">
        <v>43900</v>
      </c>
    </row>
    <row r="111" spans="2:11" x14ac:dyDescent="0.2">
      <c r="B111" s="138" t="s">
        <v>269</v>
      </c>
      <c r="C111" s="139">
        <v>2369</v>
      </c>
      <c r="D111" s="139">
        <v>79100</v>
      </c>
      <c r="E111" s="139">
        <v>66000</v>
      </c>
      <c r="F111" s="139">
        <v>61500</v>
      </c>
      <c r="G111" s="139">
        <v>52700</v>
      </c>
      <c r="H111" s="139">
        <v>422200</v>
      </c>
      <c r="I111" s="139">
        <v>147900</v>
      </c>
      <c r="J111" s="139">
        <v>240700</v>
      </c>
      <c r="K111" s="139">
        <v>35200</v>
      </c>
    </row>
    <row r="112" spans="2:11" x14ac:dyDescent="0.2">
      <c r="B112" s="138" t="s">
        <v>551</v>
      </c>
      <c r="C112" s="139">
        <v>873</v>
      </c>
      <c r="D112" s="139">
        <v>70400</v>
      </c>
      <c r="E112" s="139">
        <v>61100</v>
      </c>
      <c r="F112" s="139">
        <v>53900</v>
      </c>
      <c r="G112" s="139">
        <v>49300</v>
      </c>
      <c r="H112" s="139">
        <v>349400</v>
      </c>
      <c r="I112" s="139">
        <v>129600</v>
      </c>
      <c r="J112" s="139">
        <v>188300</v>
      </c>
      <c r="K112" s="139">
        <v>33600</v>
      </c>
    </row>
    <row r="113" spans="2:11" x14ac:dyDescent="0.2">
      <c r="B113" s="138" t="s">
        <v>270</v>
      </c>
      <c r="C113" s="139">
        <v>1617</v>
      </c>
      <c r="D113" s="139">
        <v>70900</v>
      </c>
      <c r="E113" s="139">
        <v>60700</v>
      </c>
      <c r="F113" s="139">
        <v>55300</v>
      </c>
      <c r="G113" s="139">
        <v>48100</v>
      </c>
      <c r="H113" s="139">
        <v>348000</v>
      </c>
      <c r="I113" s="139">
        <v>144900</v>
      </c>
      <c r="J113" s="139">
        <v>206500</v>
      </c>
      <c r="K113" s="139">
        <v>25300</v>
      </c>
    </row>
    <row r="114" spans="2:11" x14ac:dyDescent="0.2">
      <c r="B114" s="138" t="s">
        <v>271</v>
      </c>
      <c r="C114" s="139">
        <v>760</v>
      </c>
      <c r="D114" s="139">
        <v>74700</v>
      </c>
      <c r="E114" s="139">
        <v>63300</v>
      </c>
      <c r="F114" s="139">
        <v>58100</v>
      </c>
      <c r="G114" s="139">
        <v>50800</v>
      </c>
      <c r="H114" s="139">
        <v>470800</v>
      </c>
      <c r="I114" s="139">
        <v>282700</v>
      </c>
      <c r="J114" s="139">
        <v>282800</v>
      </c>
      <c r="K114" s="139">
        <v>46000</v>
      </c>
    </row>
    <row r="115" spans="2:11" x14ac:dyDescent="0.2">
      <c r="B115" s="125" t="s">
        <v>272</v>
      </c>
      <c r="C115" s="127">
        <v>16964</v>
      </c>
      <c r="D115" s="127">
        <v>85500</v>
      </c>
      <c r="E115" s="127">
        <v>70200</v>
      </c>
      <c r="F115" s="127">
        <v>66200</v>
      </c>
      <c r="G115" s="127">
        <v>54800</v>
      </c>
      <c r="H115" s="127">
        <v>443800</v>
      </c>
      <c r="I115" s="127">
        <v>245000</v>
      </c>
      <c r="J115" s="127">
        <v>245000</v>
      </c>
      <c r="K115" s="127">
        <v>45600</v>
      </c>
    </row>
    <row r="116" spans="2:11" x14ac:dyDescent="0.2">
      <c r="B116" s="138" t="s">
        <v>273</v>
      </c>
      <c r="C116" s="139">
        <v>1212</v>
      </c>
      <c r="D116" s="139">
        <v>83200</v>
      </c>
      <c r="E116" s="139">
        <v>72200</v>
      </c>
      <c r="F116" s="139">
        <v>63300</v>
      </c>
      <c r="G116" s="139">
        <v>56200</v>
      </c>
      <c r="H116" s="139">
        <v>401500</v>
      </c>
      <c r="I116" s="139">
        <v>245800</v>
      </c>
      <c r="J116" s="139">
        <v>206600</v>
      </c>
      <c r="K116" s="139">
        <v>36700</v>
      </c>
    </row>
    <row r="117" spans="2:11" x14ac:dyDescent="0.2">
      <c r="B117" s="138" t="s">
        <v>274</v>
      </c>
      <c r="C117" s="139">
        <v>2912</v>
      </c>
      <c r="D117" s="139">
        <v>81500</v>
      </c>
      <c r="E117" s="139">
        <v>66400</v>
      </c>
      <c r="F117" s="139">
        <v>63800</v>
      </c>
      <c r="G117" s="139">
        <v>53000</v>
      </c>
      <c r="H117" s="139">
        <v>397700</v>
      </c>
      <c r="I117" s="139">
        <v>82900</v>
      </c>
      <c r="J117" s="139">
        <v>233300</v>
      </c>
      <c r="K117" s="139">
        <v>32000</v>
      </c>
    </row>
    <row r="118" spans="2:11" x14ac:dyDescent="0.2">
      <c r="B118" s="138" t="s">
        <v>275</v>
      </c>
      <c r="C118" s="139">
        <v>555</v>
      </c>
      <c r="D118" s="139">
        <v>84000</v>
      </c>
      <c r="E118" s="139">
        <v>69000</v>
      </c>
      <c r="F118" s="139">
        <v>64000</v>
      </c>
      <c r="G118" s="139">
        <v>52800</v>
      </c>
      <c r="H118" s="139">
        <v>520400</v>
      </c>
      <c r="I118" s="139">
        <v>349500</v>
      </c>
      <c r="J118" s="139">
        <v>277500</v>
      </c>
      <c r="K118" s="139">
        <v>93200</v>
      </c>
    </row>
    <row r="119" spans="2:11" x14ac:dyDescent="0.2">
      <c r="B119" s="138" t="s">
        <v>276</v>
      </c>
      <c r="C119" s="139">
        <v>1967</v>
      </c>
      <c r="D119" s="139">
        <v>93200</v>
      </c>
      <c r="E119" s="139">
        <v>73700</v>
      </c>
      <c r="F119" s="139">
        <v>72200</v>
      </c>
      <c r="G119" s="139">
        <v>57600</v>
      </c>
      <c r="H119" s="139">
        <v>527000</v>
      </c>
      <c r="I119" s="139">
        <v>292200</v>
      </c>
      <c r="J119" s="139">
        <v>300900</v>
      </c>
      <c r="K119" s="139">
        <v>58800</v>
      </c>
    </row>
    <row r="120" spans="2:11" x14ac:dyDescent="0.2">
      <c r="B120" s="138" t="s">
        <v>277</v>
      </c>
      <c r="C120" s="139">
        <v>769</v>
      </c>
      <c r="D120" s="139">
        <v>88500</v>
      </c>
      <c r="E120" s="139">
        <v>75000</v>
      </c>
      <c r="F120" s="139">
        <v>68100</v>
      </c>
      <c r="G120" s="139">
        <v>59000</v>
      </c>
      <c r="H120" s="139">
        <v>502300</v>
      </c>
      <c r="I120" s="139">
        <v>383300</v>
      </c>
      <c r="J120" s="139">
        <v>257000</v>
      </c>
      <c r="K120" s="139">
        <v>51100</v>
      </c>
    </row>
    <row r="121" spans="2:11" x14ac:dyDescent="0.2">
      <c r="B121" s="138" t="s">
        <v>278</v>
      </c>
      <c r="C121" s="139">
        <v>513</v>
      </c>
      <c r="D121" s="139">
        <v>73700</v>
      </c>
      <c r="E121" s="139">
        <v>64300</v>
      </c>
      <c r="F121" s="139">
        <v>55600</v>
      </c>
      <c r="G121" s="139">
        <v>49500</v>
      </c>
      <c r="H121" s="139">
        <v>371800</v>
      </c>
      <c r="I121" s="139">
        <v>219600</v>
      </c>
      <c r="J121" s="139">
        <v>173700</v>
      </c>
      <c r="K121" s="139">
        <v>31200</v>
      </c>
    </row>
    <row r="122" spans="2:11" x14ac:dyDescent="0.2">
      <c r="B122" s="138" t="s">
        <v>279</v>
      </c>
      <c r="C122" s="139">
        <v>1409</v>
      </c>
      <c r="D122" s="139">
        <v>108900</v>
      </c>
      <c r="E122" s="139">
        <v>73800</v>
      </c>
      <c r="F122" s="139">
        <v>88500</v>
      </c>
      <c r="G122" s="139">
        <v>56700</v>
      </c>
      <c r="H122" s="139">
        <v>522000</v>
      </c>
      <c r="I122" s="139">
        <v>331800</v>
      </c>
      <c r="J122" s="139">
        <v>302000</v>
      </c>
      <c r="K122" s="139">
        <v>65400</v>
      </c>
    </row>
    <row r="123" spans="2:11" x14ac:dyDescent="0.2">
      <c r="B123" s="138" t="s">
        <v>280</v>
      </c>
      <c r="C123" s="139">
        <v>1749</v>
      </c>
      <c r="D123" s="139">
        <v>78800</v>
      </c>
      <c r="E123" s="139">
        <v>66800</v>
      </c>
      <c r="F123" s="139">
        <v>61200</v>
      </c>
      <c r="G123" s="139">
        <v>53200</v>
      </c>
      <c r="H123" s="139">
        <v>416300</v>
      </c>
      <c r="I123" s="139">
        <v>179100</v>
      </c>
      <c r="J123" s="139">
        <v>258900</v>
      </c>
      <c r="K123" s="139">
        <v>41900</v>
      </c>
    </row>
    <row r="124" spans="2:11" x14ac:dyDescent="0.2">
      <c r="B124" s="138" t="s">
        <v>463</v>
      </c>
      <c r="C124" s="139">
        <v>1096</v>
      </c>
      <c r="D124" s="139">
        <v>80500</v>
      </c>
      <c r="E124" s="139">
        <v>69200</v>
      </c>
      <c r="F124" s="139">
        <v>61200</v>
      </c>
      <c r="G124" s="139">
        <v>53700</v>
      </c>
      <c r="H124" s="139">
        <v>479800</v>
      </c>
      <c r="I124" s="139">
        <v>331600</v>
      </c>
      <c r="J124" s="139">
        <v>278000</v>
      </c>
      <c r="K124" s="139">
        <v>69700</v>
      </c>
    </row>
    <row r="125" spans="2:11" x14ac:dyDescent="0.2">
      <c r="B125" s="138" t="s">
        <v>552</v>
      </c>
      <c r="C125" s="139">
        <v>505</v>
      </c>
      <c r="D125" s="139">
        <v>92100</v>
      </c>
      <c r="E125" s="139">
        <v>75500</v>
      </c>
      <c r="F125" s="139">
        <v>72300</v>
      </c>
      <c r="G125" s="139">
        <v>58300</v>
      </c>
      <c r="H125" s="139">
        <v>457500</v>
      </c>
      <c r="I125" s="139">
        <v>249100</v>
      </c>
      <c r="J125" s="139">
        <v>282000</v>
      </c>
      <c r="K125" s="139">
        <v>44200</v>
      </c>
    </row>
    <row r="126" spans="2:11" x14ac:dyDescent="0.2">
      <c r="B126" s="138" t="s">
        <v>281</v>
      </c>
      <c r="C126" s="139">
        <v>311</v>
      </c>
      <c r="D126" s="139">
        <v>82100</v>
      </c>
      <c r="E126" s="139">
        <v>68800</v>
      </c>
      <c r="F126" s="139">
        <v>62400</v>
      </c>
      <c r="G126" s="139">
        <v>54500</v>
      </c>
      <c r="H126" s="139">
        <v>425600</v>
      </c>
      <c r="I126" s="139">
        <v>351700</v>
      </c>
      <c r="J126" s="139">
        <v>205700</v>
      </c>
      <c r="K126" s="139">
        <v>63600</v>
      </c>
    </row>
    <row r="127" spans="2:11" x14ac:dyDescent="0.2">
      <c r="B127" s="138" t="s">
        <v>282</v>
      </c>
      <c r="C127" s="139">
        <v>505</v>
      </c>
      <c r="D127" s="139">
        <v>85600</v>
      </c>
      <c r="E127" s="139">
        <v>73600</v>
      </c>
      <c r="F127" s="139">
        <v>65200</v>
      </c>
      <c r="G127" s="139">
        <v>57300</v>
      </c>
      <c r="H127" s="139">
        <v>475700</v>
      </c>
      <c r="I127" s="139">
        <v>396900</v>
      </c>
      <c r="J127" s="139">
        <v>244800</v>
      </c>
      <c r="K127" s="139">
        <v>73100</v>
      </c>
    </row>
    <row r="128" spans="2:11" x14ac:dyDescent="0.2">
      <c r="B128" s="138" t="s">
        <v>283</v>
      </c>
      <c r="C128" s="139">
        <v>401</v>
      </c>
      <c r="D128" s="139">
        <v>72500</v>
      </c>
      <c r="E128" s="139">
        <v>64100</v>
      </c>
      <c r="F128" s="139">
        <v>54200</v>
      </c>
      <c r="G128" s="139">
        <v>49000</v>
      </c>
      <c r="H128" s="139">
        <v>387600</v>
      </c>
      <c r="I128" s="139">
        <v>231200</v>
      </c>
      <c r="J128" s="139">
        <v>198600</v>
      </c>
      <c r="K128" s="139">
        <v>34500</v>
      </c>
    </row>
    <row r="129" spans="2:11" x14ac:dyDescent="0.2">
      <c r="B129" s="138" t="s">
        <v>284</v>
      </c>
      <c r="C129" s="139">
        <v>769</v>
      </c>
      <c r="D129" s="139">
        <v>84000</v>
      </c>
      <c r="E129" s="139">
        <v>75300</v>
      </c>
      <c r="F129" s="139">
        <v>63700</v>
      </c>
      <c r="G129" s="139">
        <v>57400</v>
      </c>
      <c r="H129" s="139">
        <v>352300</v>
      </c>
      <c r="I129" s="139">
        <v>211100</v>
      </c>
      <c r="J129" s="139">
        <v>167200</v>
      </c>
      <c r="K129" s="139">
        <v>30700</v>
      </c>
    </row>
    <row r="130" spans="2:11" x14ac:dyDescent="0.2">
      <c r="B130" s="138" t="s">
        <v>285</v>
      </c>
      <c r="C130" s="139">
        <v>441</v>
      </c>
      <c r="D130" s="139">
        <v>90000</v>
      </c>
      <c r="E130" s="139">
        <v>80500</v>
      </c>
      <c r="F130" s="139">
        <v>68500</v>
      </c>
      <c r="G130" s="139">
        <v>62700</v>
      </c>
      <c r="H130" s="139">
        <v>427600</v>
      </c>
      <c r="I130" s="139">
        <v>341400</v>
      </c>
      <c r="J130" s="139">
        <v>181600</v>
      </c>
      <c r="K130" s="139">
        <v>36400</v>
      </c>
    </row>
    <row r="131" spans="2:11" x14ac:dyDescent="0.2">
      <c r="B131" s="138" t="s">
        <v>286</v>
      </c>
      <c r="C131" s="139">
        <v>687</v>
      </c>
      <c r="D131" s="139">
        <v>82600</v>
      </c>
      <c r="E131" s="139">
        <v>68300</v>
      </c>
      <c r="F131" s="139">
        <v>63400</v>
      </c>
      <c r="G131" s="139">
        <v>53200</v>
      </c>
      <c r="H131" s="139">
        <v>422000</v>
      </c>
      <c r="I131" s="139">
        <v>252100</v>
      </c>
      <c r="J131" s="139">
        <v>223200</v>
      </c>
      <c r="K131" s="139">
        <v>43400</v>
      </c>
    </row>
    <row r="132" spans="2:11" x14ac:dyDescent="0.2">
      <c r="B132" s="138" t="s">
        <v>287</v>
      </c>
      <c r="C132" s="139">
        <v>535</v>
      </c>
      <c r="D132" s="139">
        <v>79500</v>
      </c>
      <c r="E132" s="139">
        <v>66500</v>
      </c>
      <c r="F132" s="139">
        <v>60100</v>
      </c>
      <c r="G132" s="139">
        <v>52200</v>
      </c>
      <c r="H132" s="139">
        <v>446900</v>
      </c>
      <c r="I132" s="139">
        <v>280800</v>
      </c>
      <c r="J132" s="139">
        <v>232100</v>
      </c>
      <c r="K132" s="139">
        <v>65000</v>
      </c>
    </row>
    <row r="133" spans="2:11" x14ac:dyDescent="0.2">
      <c r="B133" s="138" t="s">
        <v>288</v>
      </c>
      <c r="C133" s="139">
        <v>628</v>
      </c>
      <c r="D133" s="139">
        <v>79500</v>
      </c>
      <c r="E133" s="139">
        <v>69000</v>
      </c>
      <c r="F133" s="139">
        <v>59300</v>
      </c>
      <c r="G133" s="139">
        <v>53200</v>
      </c>
      <c r="H133" s="139">
        <v>389500</v>
      </c>
      <c r="I133" s="139">
        <v>269100</v>
      </c>
      <c r="J133" s="139">
        <v>183300</v>
      </c>
      <c r="K133" s="139">
        <v>28900</v>
      </c>
    </row>
    <row r="134" spans="2:11" x14ac:dyDescent="0.2">
      <c r="B134" s="125" t="s">
        <v>289</v>
      </c>
      <c r="C134" s="127">
        <v>31620</v>
      </c>
      <c r="D134" s="127">
        <v>86000</v>
      </c>
      <c r="E134" s="127">
        <v>69500</v>
      </c>
      <c r="F134" s="127">
        <v>67000</v>
      </c>
      <c r="G134" s="127">
        <v>55000</v>
      </c>
      <c r="H134" s="127">
        <v>552900</v>
      </c>
      <c r="I134" s="127">
        <v>190000</v>
      </c>
      <c r="J134" s="127">
        <v>354600</v>
      </c>
      <c r="K134" s="127">
        <v>42200</v>
      </c>
    </row>
    <row r="135" spans="2:11" x14ac:dyDescent="0.2">
      <c r="B135" s="138" t="s">
        <v>290</v>
      </c>
      <c r="C135" s="139">
        <v>361</v>
      </c>
      <c r="D135" s="139">
        <v>92400</v>
      </c>
      <c r="E135" s="139">
        <v>77600</v>
      </c>
      <c r="F135" s="139">
        <v>70900</v>
      </c>
      <c r="G135" s="139">
        <v>61700</v>
      </c>
      <c r="H135" s="139">
        <v>542200</v>
      </c>
      <c r="I135" s="139">
        <v>415600</v>
      </c>
      <c r="J135" s="139">
        <v>305600</v>
      </c>
      <c r="K135" s="139">
        <v>68300</v>
      </c>
    </row>
    <row r="136" spans="2:11" x14ac:dyDescent="0.2">
      <c r="B136" s="138" t="s">
        <v>291</v>
      </c>
      <c r="C136" s="139">
        <v>782</v>
      </c>
      <c r="D136" s="139">
        <v>87700</v>
      </c>
      <c r="E136" s="139">
        <v>70400</v>
      </c>
      <c r="F136" s="139">
        <v>66100</v>
      </c>
      <c r="G136" s="139">
        <v>54400</v>
      </c>
      <c r="H136" s="139">
        <v>590300</v>
      </c>
      <c r="I136" s="139">
        <v>383100</v>
      </c>
      <c r="J136" s="139">
        <v>331300</v>
      </c>
      <c r="K136" s="139">
        <v>59500</v>
      </c>
    </row>
    <row r="137" spans="2:11" x14ac:dyDescent="0.2">
      <c r="B137" s="138" t="s">
        <v>292</v>
      </c>
      <c r="C137" s="139">
        <v>396</v>
      </c>
      <c r="D137" s="139">
        <v>85400</v>
      </c>
      <c r="E137" s="139">
        <v>76100</v>
      </c>
      <c r="F137" s="139">
        <v>65900</v>
      </c>
      <c r="G137" s="139">
        <v>57800</v>
      </c>
      <c r="H137" s="139">
        <v>385900</v>
      </c>
      <c r="I137" s="139">
        <v>233200</v>
      </c>
      <c r="J137" s="139">
        <v>178000</v>
      </c>
      <c r="K137" s="139">
        <v>30100</v>
      </c>
    </row>
    <row r="138" spans="2:11" x14ac:dyDescent="0.2">
      <c r="B138" s="138" t="s">
        <v>293</v>
      </c>
      <c r="C138" s="139">
        <v>1123</v>
      </c>
      <c r="D138" s="139">
        <v>87900</v>
      </c>
      <c r="E138" s="139">
        <v>75100</v>
      </c>
      <c r="F138" s="139">
        <v>66400</v>
      </c>
      <c r="G138" s="139">
        <v>56800</v>
      </c>
      <c r="H138" s="139">
        <v>482000</v>
      </c>
      <c r="I138" s="139">
        <v>334900</v>
      </c>
      <c r="J138" s="139">
        <v>257000</v>
      </c>
      <c r="K138" s="139">
        <v>44500</v>
      </c>
    </row>
    <row r="139" spans="2:11" x14ac:dyDescent="0.2">
      <c r="B139" s="138" t="s">
        <v>294</v>
      </c>
      <c r="C139" s="139">
        <v>736</v>
      </c>
      <c r="D139" s="139">
        <v>88000</v>
      </c>
      <c r="E139" s="139">
        <v>74400</v>
      </c>
      <c r="F139" s="139">
        <v>67500</v>
      </c>
      <c r="G139" s="139">
        <v>58400</v>
      </c>
      <c r="H139" s="139">
        <v>519500</v>
      </c>
      <c r="I139" s="139">
        <v>355700</v>
      </c>
      <c r="J139" s="139">
        <v>287300</v>
      </c>
      <c r="K139" s="139">
        <v>63800</v>
      </c>
    </row>
    <row r="140" spans="2:11" x14ac:dyDescent="0.2">
      <c r="B140" s="138" t="s">
        <v>295</v>
      </c>
      <c r="C140" s="139">
        <v>1084</v>
      </c>
      <c r="D140" s="139">
        <v>76000</v>
      </c>
      <c r="E140" s="139">
        <v>62900</v>
      </c>
      <c r="F140" s="139">
        <v>57700</v>
      </c>
      <c r="G140" s="139">
        <v>48700</v>
      </c>
      <c r="H140" s="139">
        <v>413500</v>
      </c>
      <c r="I140" s="139">
        <v>118500</v>
      </c>
      <c r="J140" s="139">
        <v>216700</v>
      </c>
      <c r="K140" s="139">
        <v>31600</v>
      </c>
    </row>
    <row r="141" spans="2:11" x14ac:dyDescent="0.2">
      <c r="B141" s="138" t="s">
        <v>296</v>
      </c>
      <c r="C141" s="139">
        <v>466</v>
      </c>
      <c r="D141" s="139">
        <v>71100</v>
      </c>
      <c r="E141" s="139">
        <v>62500</v>
      </c>
      <c r="F141" s="139">
        <v>53800</v>
      </c>
      <c r="G141" s="139">
        <v>49600</v>
      </c>
      <c r="H141" s="139">
        <v>384200</v>
      </c>
      <c r="I141" s="139">
        <v>229300</v>
      </c>
      <c r="J141" s="139">
        <v>193500</v>
      </c>
      <c r="K141" s="139">
        <v>47200</v>
      </c>
    </row>
    <row r="142" spans="2:11" x14ac:dyDescent="0.2">
      <c r="B142" s="138" t="s">
        <v>297</v>
      </c>
      <c r="C142" s="139">
        <v>527</v>
      </c>
      <c r="D142" s="139">
        <v>81100</v>
      </c>
      <c r="E142" s="139">
        <v>74300</v>
      </c>
      <c r="F142" s="139">
        <v>61200</v>
      </c>
      <c r="G142" s="139">
        <v>58400</v>
      </c>
      <c r="H142" s="139">
        <v>409000</v>
      </c>
      <c r="I142" s="139">
        <v>288600</v>
      </c>
      <c r="J142" s="139">
        <v>202900</v>
      </c>
      <c r="K142" s="139">
        <v>31400</v>
      </c>
    </row>
    <row r="143" spans="2:11" x14ac:dyDescent="0.2">
      <c r="B143" s="138" t="s">
        <v>553</v>
      </c>
      <c r="C143" s="139">
        <v>581</v>
      </c>
      <c r="D143" s="139">
        <v>76500</v>
      </c>
      <c r="E143" s="139">
        <v>68600</v>
      </c>
      <c r="F143" s="139">
        <v>58900</v>
      </c>
      <c r="G143" s="139">
        <v>53600</v>
      </c>
      <c r="H143" s="139">
        <v>340700</v>
      </c>
      <c r="I143" s="139">
        <v>194600</v>
      </c>
      <c r="J143" s="139">
        <v>177800</v>
      </c>
      <c r="K143" s="139">
        <v>30000</v>
      </c>
    </row>
    <row r="144" spans="2:11" x14ac:dyDescent="0.2">
      <c r="B144" s="138" t="s">
        <v>298</v>
      </c>
      <c r="C144" s="139">
        <v>2022</v>
      </c>
      <c r="D144" s="139">
        <v>78000</v>
      </c>
      <c r="E144" s="139">
        <v>67000</v>
      </c>
      <c r="F144" s="139">
        <v>60900</v>
      </c>
      <c r="G144" s="139">
        <v>52800</v>
      </c>
      <c r="H144" s="139">
        <v>370700</v>
      </c>
      <c r="I144" s="139">
        <v>94900</v>
      </c>
      <c r="J144" s="139">
        <v>200200</v>
      </c>
      <c r="K144" s="139">
        <v>27100</v>
      </c>
    </row>
    <row r="145" spans="2:11" x14ac:dyDescent="0.2">
      <c r="B145" s="138" t="s">
        <v>299</v>
      </c>
      <c r="C145" s="139">
        <v>5298</v>
      </c>
      <c r="D145" s="139">
        <v>84600</v>
      </c>
      <c r="E145" s="139">
        <v>65500</v>
      </c>
      <c r="F145" s="139">
        <v>67500</v>
      </c>
      <c r="G145" s="139">
        <v>52900</v>
      </c>
      <c r="H145" s="139">
        <v>463200</v>
      </c>
      <c r="I145" s="139">
        <v>62800</v>
      </c>
      <c r="J145" s="139">
        <v>323000</v>
      </c>
      <c r="K145" s="139">
        <v>33400</v>
      </c>
    </row>
    <row r="146" spans="2:11" x14ac:dyDescent="0.2">
      <c r="B146" s="138" t="s">
        <v>300</v>
      </c>
      <c r="C146" s="139">
        <v>1560</v>
      </c>
      <c r="D146" s="139">
        <v>108700</v>
      </c>
      <c r="E146" s="139">
        <v>76000</v>
      </c>
      <c r="F146" s="139">
        <v>85400</v>
      </c>
      <c r="G146" s="139">
        <v>59800</v>
      </c>
      <c r="H146" s="139">
        <v>2111500</v>
      </c>
      <c r="I146" s="139">
        <v>351500</v>
      </c>
      <c r="J146" s="139">
        <v>1805900</v>
      </c>
      <c r="K146" s="139">
        <v>73300</v>
      </c>
    </row>
    <row r="147" spans="2:11" x14ac:dyDescent="0.2">
      <c r="B147" s="138" t="s">
        <v>301</v>
      </c>
      <c r="C147" s="139">
        <v>2328</v>
      </c>
      <c r="D147" s="139">
        <v>90200</v>
      </c>
      <c r="E147" s="139">
        <v>72000</v>
      </c>
      <c r="F147" s="139">
        <v>70500</v>
      </c>
      <c r="G147" s="139">
        <v>57200</v>
      </c>
      <c r="H147" s="139">
        <v>548700</v>
      </c>
      <c r="I147" s="139">
        <v>287600</v>
      </c>
      <c r="J147" s="139">
        <v>335700</v>
      </c>
      <c r="K147" s="139">
        <v>52800</v>
      </c>
    </row>
    <row r="148" spans="2:11" x14ac:dyDescent="0.2">
      <c r="B148" s="138" t="s">
        <v>302</v>
      </c>
      <c r="C148" s="139">
        <v>2324</v>
      </c>
      <c r="D148" s="139">
        <v>79600</v>
      </c>
      <c r="E148" s="139">
        <v>66000</v>
      </c>
      <c r="F148" s="139">
        <v>61700</v>
      </c>
      <c r="G148" s="139">
        <v>53000</v>
      </c>
      <c r="H148" s="139">
        <v>397100</v>
      </c>
      <c r="I148" s="139">
        <v>104700</v>
      </c>
      <c r="J148" s="139">
        <v>220800</v>
      </c>
      <c r="K148" s="139">
        <v>27900</v>
      </c>
    </row>
    <row r="149" spans="2:11" x14ac:dyDescent="0.2">
      <c r="B149" s="138" t="s">
        <v>303</v>
      </c>
      <c r="C149" s="139">
        <v>1405</v>
      </c>
      <c r="D149" s="139">
        <v>78500</v>
      </c>
      <c r="E149" s="139">
        <v>69300</v>
      </c>
      <c r="F149" s="139">
        <v>60700</v>
      </c>
      <c r="G149" s="139">
        <v>54500</v>
      </c>
      <c r="H149" s="139">
        <v>343000</v>
      </c>
      <c r="I149" s="139">
        <v>106800</v>
      </c>
      <c r="J149" s="139">
        <v>177800</v>
      </c>
      <c r="K149" s="139">
        <v>32700</v>
      </c>
    </row>
    <row r="150" spans="2:11" x14ac:dyDescent="0.2">
      <c r="B150" s="138" t="s">
        <v>304</v>
      </c>
      <c r="C150" s="139">
        <v>2801</v>
      </c>
      <c r="D150" s="139">
        <v>87000</v>
      </c>
      <c r="E150" s="139">
        <v>72800</v>
      </c>
      <c r="F150" s="139">
        <v>68200</v>
      </c>
      <c r="G150" s="139">
        <v>57600</v>
      </c>
      <c r="H150" s="139">
        <v>431500</v>
      </c>
      <c r="I150" s="139">
        <v>202600</v>
      </c>
      <c r="J150" s="139">
        <v>239200</v>
      </c>
      <c r="K150" s="139">
        <v>38100</v>
      </c>
    </row>
    <row r="151" spans="2:11" x14ac:dyDescent="0.2">
      <c r="B151" s="138" t="s">
        <v>305</v>
      </c>
      <c r="C151" s="139">
        <v>1605</v>
      </c>
      <c r="D151" s="139">
        <v>82300</v>
      </c>
      <c r="E151" s="139">
        <v>68000</v>
      </c>
      <c r="F151" s="139">
        <v>62900</v>
      </c>
      <c r="G151" s="139">
        <v>53900</v>
      </c>
      <c r="H151" s="139">
        <v>451300</v>
      </c>
      <c r="I151" s="139">
        <v>313100</v>
      </c>
      <c r="J151" s="139">
        <v>238100</v>
      </c>
      <c r="K151" s="139">
        <v>43800</v>
      </c>
    </row>
    <row r="152" spans="2:11" x14ac:dyDescent="0.2">
      <c r="B152" s="138" t="s">
        <v>306</v>
      </c>
      <c r="C152" s="139">
        <v>2063</v>
      </c>
      <c r="D152" s="139">
        <v>102700</v>
      </c>
      <c r="E152" s="139">
        <v>77500</v>
      </c>
      <c r="F152" s="139">
        <v>80400</v>
      </c>
      <c r="G152" s="139">
        <v>59500</v>
      </c>
      <c r="H152" s="139">
        <v>718100</v>
      </c>
      <c r="I152" s="139">
        <v>363000</v>
      </c>
      <c r="J152" s="139">
        <v>437900</v>
      </c>
      <c r="K152" s="139">
        <v>75800</v>
      </c>
    </row>
    <row r="153" spans="2:11" x14ac:dyDescent="0.2">
      <c r="B153" s="138" t="s">
        <v>307</v>
      </c>
      <c r="C153" s="139">
        <v>2693</v>
      </c>
      <c r="D153" s="139">
        <v>79900</v>
      </c>
      <c r="E153" s="139">
        <v>66200</v>
      </c>
      <c r="F153" s="139">
        <v>62400</v>
      </c>
      <c r="G153" s="139">
        <v>52500</v>
      </c>
      <c r="H153" s="139">
        <v>477500</v>
      </c>
      <c r="I153" s="139">
        <v>216100</v>
      </c>
      <c r="J153" s="139">
        <v>288300</v>
      </c>
      <c r="K153" s="139">
        <v>51800</v>
      </c>
    </row>
    <row r="154" spans="2:11" x14ac:dyDescent="0.2">
      <c r="B154" s="138" t="s">
        <v>308</v>
      </c>
      <c r="C154" s="139">
        <v>1465</v>
      </c>
      <c r="D154" s="139">
        <v>91100</v>
      </c>
      <c r="E154" s="139">
        <v>74200</v>
      </c>
      <c r="F154" s="139">
        <v>71800</v>
      </c>
      <c r="G154" s="139">
        <v>60100</v>
      </c>
      <c r="H154" s="139">
        <v>566300</v>
      </c>
      <c r="I154" s="139">
        <v>369800</v>
      </c>
      <c r="J154" s="139">
        <v>359800</v>
      </c>
      <c r="K154" s="139">
        <v>84600</v>
      </c>
    </row>
    <row r="155" spans="2:11" x14ac:dyDescent="0.2">
      <c r="B155" s="125" t="s">
        <v>309</v>
      </c>
      <c r="C155" s="127">
        <v>18115</v>
      </c>
      <c r="D155" s="127">
        <v>85400</v>
      </c>
      <c r="E155" s="127">
        <v>70100</v>
      </c>
      <c r="F155" s="127">
        <v>65700</v>
      </c>
      <c r="G155" s="127">
        <v>54500</v>
      </c>
      <c r="H155" s="127">
        <v>466300</v>
      </c>
      <c r="I155" s="127">
        <v>204200</v>
      </c>
      <c r="J155" s="127">
        <v>252000</v>
      </c>
      <c r="K155" s="127">
        <v>40100</v>
      </c>
    </row>
    <row r="156" spans="2:11" x14ac:dyDescent="0.2">
      <c r="B156" s="138" t="s">
        <v>310</v>
      </c>
      <c r="C156" s="139">
        <v>491</v>
      </c>
      <c r="D156" s="139">
        <v>94400</v>
      </c>
      <c r="E156" s="139">
        <v>75900</v>
      </c>
      <c r="F156" s="139">
        <v>72500</v>
      </c>
      <c r="G156" s="139">
        <v>58100</v>
      </c>
      <c r="H156" s="139">
        <v>430200</v>
      </c>
      <c r="I156" s="139">
        <v>229200</v>
      </c>
      <c r="J156" s="139">
        <v>202000</v>
      </c>
      <c r="K156" s="139">
        <v>39000</v>
      </c>
    </row>
    <row r="157" spans="2:11" x14ac:dyDescent="0.2">
      <c r="B157" s="138" t="s">
        <v>311</v>
      </c>
      <c r="C157" s="139">
        <v>774</v>
      </c>
      <c r="D157" s="139">
        <v>88300</v>
      </c>
      <c r="E157" s="139">
        <v>73000</v>
      </c>
      <c r="F157" s="139">
        <v>66500</v>
      </c>
      <c r="G157" s="139">
        <v>54800</v>
      </c>
      <c r="H157" s="139">
        <v>477400</v>
      </c>
      <c r="I157" s="139">
        <v>285900</v>
      </c>
      <c r="J157" s="139">
        <v>226000</v>
      </c>
      <c r="K157" s="139">
        <v>36600</v>
      </c>
    </row>
    <row r="158" spans="2:11" x14ac:dyDescent="0.2">
      <c r="B158" s="138" t="s">
        <v>312</v>
      </c>
      <c r="C158" s="139">
        <v>920</v>
      </c>
      <c r="D158" s="139">
        <v>88500</v>
      </c>
      <c r="E158" s="139">
        <v>72000</v>
      </c>
      <c r="F158" s="139">
        <v>67300</v>
      </c>
      <c r="G158" s="139">
        <v>56100</v>
      </c>
      <c r="H158" s="139">
        <v>412300</v>
      </c>
      <c r="I158" s="139">
        <v>213300</v>
      </c>
      <c r="J158" s="139">
        <v>180700</v>
      </c>
      <c r="K158" s="139">
        <v>35100</v>
      </c>
    </row>
    <row r="159" spans="2:11" x14ac:dyDescent="0.2">
      <c r="B159" s="138" t="s">
        <v>313</v>
      </c>
      <c r="C159" s="139">
        <v>558</v>
      </c>
      <c r="D159" s="139">
        <v>86100</v>
      </c>
      <c r="E159" s="139">
        <v>65000</v>
      </c>
      <c r="F159" s="139">
        <v>66600</v>
      </c>
      <c r="G159" s="139">
        <v>50300</v>
      </c>
      <c r="H159" s="139">
        <v>503200</v>
      </c>
      <c r="I159" s="139">
        <v>212700</v>
      </c>
      <c r="J159" s="139">
        <v>256300</v>
      </c>
      <c r="K159" s="139">
        <v>44200</v>
      </c>
    </row>
    <row r="160" spans="2:11" x14ac:dyDescent="0.2">
      <c r="B160" s="138" t="s">
        <v>314</v>
      </c>
      <c r="C160" s="139">
        <v>310</v>
      </c>
      <c r="D160" s="139">
        <v>88600</v>
      </c>
      <c r="E160" s="139">
        <v>75800</v>
      </c>
      <c r="F160" s="139">
        <v>67200</v>
      </c>
      <c r="G160" s="139">
        <v>59500</v>
      </c>
      <c r="H160" s="139">
        <v>480500</v>
      </c>
      <c r="I160" s="139">
        <v>347000</v>
      </c>
      <c r="J160" s="139">
        <v>241500</v>
      </c>
      <c r="K160" s="139">
        <v>57900</v>
      </c>
    </row>
    <row r="161" spans="2:11" x14ac:dyDescent="0.2">
      <c r="B161" s="138" t="s">
        <v>315</v>
      </c>
      <c r="C161" s="139">
        <v>326</v>
      </c>
      <c r="D161" s="139">
        <v>92100</v>
      </c>
      <c r="E161" s="139">
        <v>66500</v>
      </c>
      <c r="F161" s="139">
        <v>70000</v>
      </c>
      <c r="G161" s="139">
        <v>51300</v>
      </c>
      <c r="H161" s="139">
        <v>508500</v>
      </c>
      <c r="I161" s="139">
        <v>228900</v>
      </c>
      <c r="J161" s="139">
        <v>267600</v>
      </c>
      <c r="K161" s="139">
        <v>51500</v>
      </c>
    </row>
    <row r="162" spans="2:11" x14ac:dyDescent="0.2">
      <c r="B162" s="138" t="s">
        <v>316</v>
      </c>
      <c r="C162" s="139">
        <v>1511</v>
      </c>
      <c r="D162" s="139">
        <v>78100</v>
      </c>
      <c r="E162" s="139">
        <v>65500</v>
      </c>
      <c r="F162" s="139">
        <v>60200</v>
      </c>
      <c r="G162" s="139">
        <v>50300</v>
      </c>
      <c r="H162" s="139">
        <v>390500</v>
      </c>
      <c r="I162" s="139">
        <v>115700</v>
      </c>
      <c r="J162" s="139">
        <v>222800</v>
      </c>
      <c r="K162" s="139">
        <v>42400</v>
      </c>
    </row>
    <row r="163" spans="2:11" x14ac:dyDescent="0.2">
      <c r="B163" s="138" t="s">
        <v>317</v>
      </c>
      <c r="C163" s="139">
        <v>546</v>
      </c>
      <c r="D163" s="139">
        <v>79000</v>
      </c>
      <c r="E163" s="139">
        <v>69400</v>
      </c>
      <c r="F163" s="139">
        <v>59400</v>
      </c>
      <c r="G163" s="139">
        <v>52900</v>
      </c>
      <c r="H163" s="139">
        <v>447000</v>
      </c>
      <c r="I163" s="139">
        <v>287500</v>
      </c>
      <c r="J163" s="139">
        <v>236000</v>
      </c>
      <c r="K163" s="139">
        <v>42400</v>
      </c>
    </row>
    <row r="164" spans="2:11" x14ac:dyDescent="0.2">
      <c r="B164" s="138" t="s">
        <v>318</v>
      </c>
      <c r="C164" s="139">
        <v>623</v>
      </c>
      <c r="D164" s="139">
        <v>87000</v>
      </c>
      <c r="E164" s="139">
        <v>75000</v>
      </c>
      <c r="F164" s="139">
        <v>65900</v>
      </c>
      <c r="G164" s="139">
        <v>55300</v>
      </c>
      <c r="H164" s="139">
        <v>498700</v>
      </c>
      <c r="I164" s="139">
        <v>381800</v>
      </c>
      <c r="J164" s="139">
        <v>252000</v>
      </c>
      <c r="K164" s="139">
        <v>49900</v>
      </c>
    </row>
    <row r="165" spans="2:11" x14ac:dyDescent="0.2">
      <c r="B165" s="138" t="s">
        <v>319</v>
      </c>
      <c r="C165" s="139">
        <v>692</v>
      </c>
      <c r="D165" s="139">
        <v>83100</v>
      </c>
      <c r="E165" s="139">
        <v>70900</v>
      </c>
      <c r="F165" s="139">
        <v>62800</v>
      </c>
      <c r="G165" s="139">
        <v>54900</v>
      </c>
      <c r="H165" s="139">
        <v>417500</v>
      </c>
      <c r="I165" s="139">
        <v>137300</v>
      </c>
      <c r="J165" s="139">
        <v>224100</v>
      </c>
      <c r="K165" s="139">
        <v>42400</v>
      </c>
    </row>
    <row r="166" spans="2:11" x14ac:dyDescent="0.2">
      <c r="B166" s="138" t="s">
        <v>320</v>
      </c>
      <c r="C166" s="139">
        <v>105</v>
      </c>
      <c r="D166" s="139">
        <v>117400</v>
      </c>
      <c r="E166" s="139">
        <v>67500</v>
      </c>
      <c r="F166" s="139">
        <v>96800</v>
      </c>
      <c r="G166" s="139">
        <v>54000</v>
      </c>
      <c r="H166" s="139">
        <v>1062900</v>
      </c>
      <c r="I166" s="139">
        <v>243500</v>
      </c>
      <c r="J166" s="139">
        <v>678600</v>
      </c>
      <c r="K166" s="139">
        <v>32000</v>
      </c>
    </row>
    <row r="167" spans="2:11" x14ac:dyDescent="0.2">
      <c r="B167" s="138" t="s">
        <v>321</v>
      </c>
      <c r="C167" s="139">
        <v>178</v>
      </c>
      <c r="D167" s="139">
        <v>95400</v>
      </c>
      <c r="E167" s="139">
        <v>74100</v>
      </c>
      <c r="F167" s="139">
        <v>71700</v>
      </c>
      <c r="G167" s="139">
        <v>57400</v>
      </c>
      <c r="H167" s="139">
        <v>811500</v>
      </c>
      <c r="I167" s="139">
        <v>430500</v>
      </c>
      <c r="J167" s="139">
        <v>474800</v>
      </c>
      <c r="K167" s="139">
        <v>94300</v>
      </c>
    </row>
    <row r="168" spans="2:11" x14ac:dyDescent="0.2">
      <c r="B168" s="138" t="s">
        <v>322</v>
      </c>
      <c r="C168" s="139">
        <v>1753</v>
      </c>
      <c r="D168" s="139">
        <v>88500</v>
      </c>
      <c r="E168" s="139">
        <v>71300</v>
      </c>
      <c r="F168" s="139">
        <v>68300</v>
      </c>
      <c r="G168" s="139">
        <v>55900</v>
      </c>
      <c r="H168" s="139">
        <v>454900</v>
      </c>
      <c r="I168" s="139">
        <v>231700</v>
      </c>
      <c r="J168" s="139">
        <v>226200</v>
      </c>
      <c r="K168" s="139">
        <v>28400</v>
      </c>
    </row>
    <row r="169" spans="2:11" x14ac:dyDescent="0.2">
      <c r="B169" s="138" t="s">
        <v>323</v>
      </c>
      <c r="C169" s="139">
        <v>543</v>
      </c>
      <c r="D169" s="139">
        <v>87100</v>
      </c>
      <c r="E169" s="139">
        <v>72800</v>
      </c>
      <c r="F169" s="139">
        <v>67100</v>
      </c>
      <c r="G169" s="139">
        <v>56400</v>
      </c>
      <c r="H169" s="139">
        <v>488400</v>
      </c>
      <c r="I169" s="139">
        <v>189500</v>
      </c>
      <c r="J169" s="139">
        <v>248100</v>
      </c>
      <c r="K169" s="139">
        <v>37700</v>
      </c>
    </row>
    <row r="170" spans="2:11" x14ac:dyDescent="0.2">
      <c r="B170" s="138" t="s">
        <v>554</v>
      </c>
      <c r="C170" s="139">
        <v>4034</v>
      </c>
      <c r="D170" s="139">
        <v>81900</v>
      </c>
      <c r="E170" s="139">
        <v>67900</v>
      </c>
      <c r="F170" s="139">
        <v>64000</v>
      </c>
      <c r="G170" s="139">
        <v>53500</v>
      </c>
      <c r="H170" s="139">
        <v>484200</v>
      </c>
      <c r="I170" s="139">
        <v>114600</v>
      </c>
      <c r="J170" s="139">
        <v>299500</v>
      </c>
      <c r="K170" s="139">
        <v>37700</v>
      </c>
    </row>
    <row r="171" spans="2:11" x14ac:dyDescent="0.2">
      <c r="B171" s="138" t="s">
        <v>324</v>
      </c>
      <c r="C171" s="139">
        <v>734</v>
      </c>
      <c r="D171" s="139">
        <v>86600</v>
      </c>
      <c r="E171" s="139">
        <v>74300</v>
      </c>
      <c r="F171" s="139">
        <v>65000</v>
      </c>
      <c r="G171" s="139">
        <v>56200</v>
      </c>
      <c r="H171" s="139">
        <v>442900</v>
      </c>
      <c r="I171" s="139">
        <v>319700</v>
      </c>
      <c r="J171" s="139">
        <v>216400</v>
      </c>
      <c r="K171" s="139">
        <v>33300</v>
      </c>
    </row>
    <row r="172" spans="2:11" x14ac:dyDescent="0.2">
      <c r="B172" s="138" t="s">
        <v>325</v>
      </c>
      <c r="C172" s="139">
        <v>441</v>
      </c>
      <c r="D172" s="139">
        <v>92300</v>
      </c>
      <c r="E172" s="139">
        <v>76600</v>
      </c>
      <c r="F172" s="139">
        <v>70500</v>
      </c>
      <c r="G172" s="139">
        <v>58100</v>
      </c>
      <c r="H172" s="139">
        <v>528500</v>
      </c>
      <c r="I172" s="139">
        <v>308500</v>
      </c>
      <c r="J172" s="139">
        <v>240800</v>
      </c>
      <c r="K172" s="139">
        <v>44600</v>
      </c>
    </row>
    <row r="173" spans="2:11" x14ac:dyDescent="0.2">
      <c r="B173" s="138" t="s">
        <v>326</v>
      </c>
      <c r="C173" s="139">
        <v>2164</v>
      </c>
      <c r="D173" s="139">
        <v>85400</v>
      </c>
      <c r="E173" s="139">
        <v>70300</v>
      </c>
      <c r="F173" s="139">
        <v>65700</v>
      </c>
      <c r="G173" s="139">
        <v>54800</v>
      </c>
      <c r="H173" s="139">
        <v>448700</v>
      </c>
      <c r="I173" s="139">
        <v>182700</v>
      </c>
      <c r="J173" s="139">
        <v>244400</v>
      </c>
      <c r="K173" s="139">
        <v>38900</v>
      </c>
    </row>
    <row r="174" spans="2:11" x14ac:dyDescent="0.2">
      <c r="B174" s="138" t="s">
        <v>327</v>
      </c>
      <c r="C174" s="139">
        <v>1412</v>
      </c>
      <c r="D174" s="139">
        <v>86600</v>
      </c>
      <c r="E174" s="139">
        <v>72900</v>
      </c>
      <c r="F174" s="139">
        <v>66300</v>
      </c>
      <c r="G174" s="139">
        <v>56500</v>
      </c>
      <c r="H174" s="139">
        <v>465500</v>
      </c>
      <c r="I174" s="139">
        <v>302100</v>
      </c>
      <c r="J174" s="139">
        <v>249900</v>
      </c>
      <c r="K174" s="139">
        <v>51700</v>
      </c>
    </row>
    <row r="175" spans="2:11" x14ac:dyDescent="0.2">
      <c r="B175" s="125" t="s">
        <v>328</v>
      </c>
      <c r="C175" s="127">
        <v>25483</v>
      </c>
      <c r="D175" s="127">
        <v>88500</v>
      </c>
      <c r="E175" s="127">
        <v>72300</v>
      </c>
      <c r="F175" s="127">
        <v>69400</v>
      </c>
      <c r="G175" s="127">
        <v>57800</v>
      </c>
      <c r="H175" s="127">
        <v>470600</v>
      </c>
      <c r="I175" s="127">
        <v>151900</v>
      </c>
      <c r="J175" s="127">
        <v>287500</v>
      </c>
      <c r="K175" s="127">
        <v>35900</v>
      </c>
    </row>
    <row r="176" spans="2:11" x14ac:dyDescent="0.2">
      <c r="B176" s="138" t="s">
        <v>329</v>
      </c>
      <c r="C176" s="139">
        <v>437</v>
      </c>
      <c r="D176" s="139">
        <v>75300</v>
      </c>
      <c r="E176" s="139">
        <v>67500</v>
      </c>
      <c r="F176" s="139">
        <v>56400</v>
      </c>
      <c r="G176" s="139">
        <v>53200</v>
      </c>
      <c r="H176" s="139">
        <v>454900</v>
      </c>
      <c r="I176" s="139">
        <v>380700</v>
      </c>
      <c r="J176" s="139">
        <v>261400</v>
      </c>
      <c r="K176" s="139">
        <v>68400</v>
      </c>
    </row>
    <row r="177" spans="2:11" x14ac:dyDescent="0.2">
      <c r="B177" s="138" t="s">
        <v>330</v>
      </c>
      <c r="C177" s="139">
        <v>3096</v>
      </c>
      <c r="D177" s="139">
        <v>86400</v>
      </c>
      <c r="E177" s="139">
        <v>76800</v>
      </c>
      <c r="F177" s="139">
        <v>70400</v>
      </c>
      <c r="G177" s="139">
        <v>63600</v>
      </c>
      <c r="H177" s="139">
        <v>315500</v>
      </c>
      <c r="I177" s="139">
        <v>76400</v>
      </c>
      <c r="J177" s="139">
        <v>189100</v>
      </c>
      <c r="K177" s="139">
        <v>31000</v>
      </c>
    </row>
    <row r="178" spans="2:11" x14ac:dyDescent="0.2">
      <c r="B178" s="138" t="s">
        <v>331</v>
      </c>
      <c r="C178" s="139">
        <v>2022</v>
      </c>
      <c r="D178" s="139">
        <v>109000</v>
      </c>
      <c r="E178" s="139">
        <v>86100</v>
      </c>
      <c r="F178" s="139">
        <v>83900</v>
      </c>
      <c r="G178" s="139">
        <v>67900</v>
      </c>
      <c r="H178" s="139">
        <v>687500</v>
      </c>
      <c r="I178" s="139">
        <v>450800</v>
      </c>
      <c r="J178" s="139">
        <v>386200</v>
      </c>
      <c r="K178" s="139">
        <v>60100</v>
      </c>
    </row>
    <row r="179" spans="2:11" x14ac:dyDescent="0.2">
      <c r="B179" s="138" t="s">
        <v>332</v>
      </c>
      <c r="C179" s="139">
        <v>5766</v>
      </c>
      <c r="D179" s="139">
        <v>85000</v>
      </c>
      <c r="E179" s="139">
        <v>71000</v>
      </c>
      <c r="F179" s="139">
        <v>66000</v>
      </c>
      <c r="G179" s="139">
        <v>56200</v>
      </c>
      <c r="H179" s="139">
        <v>416100</v>
      </c>
      <c r="I179" s="139">
        <v>151600</v>
      </c>
      <c r="J179" s="139">
        <v>231100</v>
      </c>
      <c r="K179" s="139">
        <v>32000</v>
      </c>
    </row>
    <row r="180" spans="2:11" x14ac:dyDescent="0.2">
      <c r="B180" s="138" t="s">
        <v>333</v>
      </c>
      <c r="C180" s="139">
        <v>743</v>
      </c>
      <c r="D180" s="139">
        <v>82900</v>
      </c>
      <c r="E180" s="139">
        <v>69900</v>
      </c>
      <c r="F180" s="139">
        <v>63300</v>
      </c>
      <c r="G180" s="139">
        <v>55600</v>
      </c>
      <c r="H180" s="139">
        <v>411100</v>
      </c>
      <c r="I180" s="139">
        <v>191400</v>
      </c>
      <c r="J180" s="139">
        <v>228000</v>
      </c>
      <c r="K180" s="139">
        <v>25300</v>
      </c>
    </row>
    <row r="181" spans="2:11" x14ac:dyDescent="0.2">
      <c r="B181" s="138" t="s">
        <v>334</v>
      </c>
      <c r="C181" s="139">
        <v>555</v>
      </c>
      <c r="D181" s="139">
        <v>79500</v>
      </c>
      <c r="E181" s="139">
        <v>69500</v>
      </c>
      <c r="F181" s="139">
        <v>60100</v>
      </c>
      <c r="G181" s="139">
        <v>51400</v>
      </c>
      <c r="H181" s="139">
        <v>395500</v>
      </c>
      <c r="I181" s="139">
        <v>259200</v>
      </c>
      <c r="J181" s="139">
        <v>195600</v>
      </c>
      <c r="K181" s="139">
        <v>32900</v>
      </c>
    </row>
    <row r="182" spans="2:11" x14ac:dyDescent="0.2">
      <c r="B182" s="138" t="s">
        <v>335</v>
      </c>
      <c r="C182" s="139">
        <v>209</v>
      </c>
      <c r="D182" s="139">
        <v>119700</v>
      </c>
      <c r="E182" s="139">
        <v>87900</v>
      </c>
      <c r="F182" s="139">
        <v>94800</v>
      </c>
      <c r="G182" s="139">
        <v>70600</v>
      </c>
      <c r="H182" s="139">
        <v>826400</v>
      </c>
      <c r="I182" s="139">
        <v>571400</v>
      </c>
      <c r="J182" s="139">
        <v>472900</v>
      </c>
      <c r="K182" s="139">
        <v>148300</v>
      </c>
    </row>
    <row r="183" spans="2:11" x14ac:dyDescent="0.2">
      <c r="B183" s="138" t="s">
        <v>336</v>
      </c>
      <c r="C183" s="139">
        <v>7176</v>
      </c>
      <c r="D183" s="139">
        <v>85900</v>
      </c>
      <c r="E183" s="139">
        <v>68800</v>
      </c>
      <c r="F183" s="139">
        <v>68600</v>
      </c>
      <c r="G183" s="139">
        <v>55900</v>
      </c>
      <c r="H183" s="139">
        <v>500200</v>
      </c>
      <c r="I183" s="139">
        <v>70100</v>
      </c>
      <c r="J183" s="139">
        <v>362000</v>
      </c>
      <c r="K183" s="139">
        <v>31400</v>
      </c>
    </row>
    <row r="184" spans="2:11" x14ac:dyDescent="0.2">
      <c r="B184" s="138" t="s">
        <v>337</v>
      </c>
      <c r="C184" s="139">
        <v>450</v>
      </c>
      <c r="D184" s="139">
        <v>85000</v>
      </c>
      <c r="E184" s="139">
        <v>73400</v>
      </c>
      <c r="F184" s="139">
        <v>63100</v>
      </c>
      <c r="G184" s="139">
        <v>54600</v>
      </c>
      <c r="H184" s="139">
        <v>439000</v>
      </c>
      <c r="I184" s="139">
        <v>246100</v>
      </c>
      <c r="J184" s="139">
        <v>238400</v>
      </c>
      <c r="K184" s="139">
        <v>62100</v>
      </c>
    </row>
    <row r="185" spans="2:11" x14ac:dyDescent="0.2">
      <c r="B185" s="138" t="s">
        <v>555</v>
      </c>
      <c r="C185" s="139">
        <v>1692</v>
      </c>
      <c r="D185" s="139">
        <v>86300</v>
      </c>
      <c r="E185" s="139">
        <v>70100</v>
      </c>
      <c r="F185" s="139">
        <v>68400</v>
      </c>
      <c r="G185" s="139">
        <v>56900</v>
      </c>
      <c r="H185" s="139">
        <v>400600</v>
      </c>
      <c r="I185" s="139">
        <v>99500</v>
      </c>
      <c r="J185" s="139">
        <v>225500</v>
      </c>
      <c r="K185" s="139">
        <v>27700</v>
      </c>
    </row>
    <row r="186" spans="2:11" x14ac:dyDescent="0.2">
      <c r="B186" s="138" t="s">
        <v>338</v>
      </c>
      <c r="C186" s="139">
        <v>1046</v>
      </c>
      <c r="D186" s="139">
        <v>100400</v>
      </c>
      <c r="E186" s="139">
        <v>80900</v>
      </c>
      <c r="F186" s="139">
        <v>77100</v>
      </c>
      <c r="G186" s="139">
        <v>62500</v>
      </c>
      <c r="H186" s="139">
        <v>568800</v>
      </c>
      <c r="I186" s="139">
        <v>414800</v>
      </c>
      <c r="J186" s="139">
        <v>307800</v>
      </c>
      <c r="K186" s="139">
        <v>68300</v>
      </c>
    </row>
    <row r="187" spans="2:11" x14ac:dyDescent="0.2">
      <c r="B187" s="138" t="s">
        <v>339</v>
      </c>
      <c r="C187" s="139">
        <v>583</v>
      </c>
      <c r="D187" s="139">
        <v>81800</v>
      </c>
      <c r="E187" s="139">
        <v>69000</v>
      </c>
      <c r="F187" s="139">
        <v>63000</v>
      </c>
      <c r="G187" s="139">
        <v>53400</v>
      </c>
      <c r="H187" s="139">
        <v>523800</v>
      </c>
      <c r="I187" s="139">
        <v>392400</v>
      </c>
      <c r="J187" s="139">
        <v>307200</v>
      </c>
      <c r="K187" s="139">
        <v>84000</v>
      </c>
    </row>
    <row r="188" spans="2:11" x14ac:dyDescent="0.2">
      <c r="B188" s="138" t="s">
        <v>340</v>
      </c>
      <c r="C188" s="139">
        <v>1247</v>
      </c>
      <c r="D188" s="139">
        <v>93400</v>
      </c>
      <c r="E188" s="139">
        <v>74600</v>
      </c>
      <c r="F188" s="139">
        <v>71500</v>
      </c>
      <c r="G188" s="139">
        <v>56600</v>
      </c>
      <c r="H188" s="139">
        <v>581700</v>
      </c>
      <c r="I188" s="139">
        <v>367200</v>
      </c>
      <c r="J188" s="139">
        <v>343600</v>
      </c>
      <c r="K188" s="139">
        <v>50700</v>
      </c>
    </row>
    <row r="189" spans="2:11" x14ac:dyDescent="0.2">
      <c r="B189" s="138" t="s">
        <v>341</v>
      </c>
      <c r="C189" s="139">
        <v>461</v>
      </c>
      <c r="D189" s="139">
        <v>93600</v>
      </c>
      <c r="E189" s="139">
        <v>78000</v>
      </c>
      <c r="F189" s="139">
        <v>70500</v>
      </c>
      <c r="G189" s="139">
        <v>57200</v>
      </c>
      <c r="H189" s="139">
        <v>519000</v>
      </c>
      <c r="I189" s="139">
        <v>441400</v>
      </c>
      <c r="J189" s="139">
        <v>264100</v>
      </c>
      <c r="K189" s="139">
        <v>65600</v>
      </c>
    </row>
    <row r="190" spans="2:11" x14ac:dyDescent="0.2">
      <c r="B190" s="125" t="s">
        <v>342</v>
      </c>
      <c r="C190" s="127">
        <v>38373</v>
      </c>
      <c r="D190" s="127">
        <v>76600</v>
      </c>
      <c r="E190" s="127">
        <v>64400</v>
      </c>
      <c r="F190" s="127">
        <v>59700</v>
      </c>
      <c r="G190" s="127">
        <v>51200</v>
      </c>
      <c r="H190" s="127">
        <v>377800</v>
      </c>
      <c r="I190" s="127">
        <v>104600</v>
      </c>
      <c r="J190" s="127">
        <v>222800</v>
      </c>
      <c r="K190" s="127">
        <v>29900</v>
      </c>
    </row>
    <row r="191" spans="2:11" x14ac:dyDescent="0.2">
      <c r="B191" s="138" t="s">
        <v>343</v>
      </c>
      <c r="C191" s="139">
        <v>3955</v>
      </c>
      <c r="D191" s="139">
        <v>71000</v>
      </c>
      <c r="E191" s="139">
        <v>61500</v>
      </c>
      <c r="F191" s="139">
        <v>56100</v>
      </c>
      <c r="G191" s="139">
        <v>49900</v>
      </c>
      <c r="H191" s="139">
        <v>269700</v>
      </c>
      <c r="I191" s="139">
        <v>39800</v>
      </c>
      <c r="J191" s="139">
        <v>149300</v>
      </c>
      <c r="K191" s="139">
        <v>14900</v>
      </c>
    </row>
    <row r="192" spans="2:11" x14ac:dyDescent="0.2">
      <c r="B192" s="138" t="s">
        <v>344</v>
      </c>
      <c r="C192" s="139">
        <v>165</v>
      </c>
      <c r="D192" s="139">
        <v>72600</v>
      </c>
      <c r="E192" s="139">
        <v>62000</v>
      </c>
      <c r="F192" s="139">
        <v>53900</v>
      </c>
      <c r="G192" s="139">
        <v>46000</v>
      </c>
      <c r="H192" s="139">
        <v>453300</v>
      </c>
      <c r="I192" s="139">
        <v>300700</v>
      </c>
      <c r="J192" s="139">
        <v>272100</v>
      </c>
      <c r="K192" s="139">
        <v>59400</v>
      </c>
    </row>
    <row r="193" spans="2:11" x14ac:dyDescent="0.2">
      <c r="B193" s="138" t="s">
        <v>345</v>
      </c>
      <c r="C193" s="139">
        <v>453</v>
      </c>
      <c r="D193" s="139">
        <v>84200</v>
      </c>
      <c r="E193" s="139">
        <v>64900</v>
      </c>
      <c r="F193" s="139">
        <v>66600</v>
      </c>
      <c r="G193" s="139">
        <v>51600</v>
      </c>
      <c r="H193" s="139">
        <v>438900</v>
      </c>
      <c r="I193" s="139">
        <v>299300</v>
      </c>
      <c r="J193" s="139">
        <v>246700</v>
      </c>
      <c r="K193" s="139">
        <v>56200</v>
      </c>
    </row>
    <row r="194" spans="2:11" x14ac:dyDescent="0.2">
      <c r="B194" s="138" t="s">
        <v>346</v>
      </c>
      <c r="C194" s="139">
        <v>2117</v>
      </c>
      <c r="D194" s="139">
        <v>79300</v>
      </c>
      <c r="E194" s="139">
        <v>67500</v>
      </c>
      <c r="F194" s="139">
        <v>60700</v>
      </c>
      <c r="G194" s="139">
        <v>52900</v>
      </c>
      <c r="H194" s="139">
        <v>422000</v>
      </c>
      <c r="I194" s="139">
        <v>269100</v>
      </c>
      <c r="J194" s="139">
        <v>236000</v>
      </c>
      <c r="K194" s="139">
        <v>49900</v>
      </c>
    </row>
    <row r="195" spans="2:11" x14ac:dyDescent="0.2">
      <c r="B195" s="138" t="s">
        <v>347</v>
      </c>
      <c r="C195" s="139">
        <v>457</v>
      </c>
      <c r="D195" s="139">
        <v>74200</v>
      </c>
      <c r="E195" s="139">
        <v>64900</v>
      </c>
      <c r="F195" s="139">
        <v>56300</v>
      </c>
      <c r="G195" s="139">
        <v>49800</v>
      </c>
      <c r="H195" s="139">
        <v>425600</v>
      </c>
      <c r="I195" s="139">
        <v>279800</v>
      </c>
      <c r="J195" s="139">
        <v>241900</v>
      </c>
      <c r="K195" s="139">
        <v>62300</v>
      </c>
    </row>
    <row r="196" spans="2:11" x14ac:dyDescent="0.2">
      <c r="B196" s="138" t="s">
        <v>348</v>
      </c>
      <c r="C196" s="139">
        <v>2405</v>
      </c>
      <c r="D196" s="139">
        <v>78900</v>
      </c>
      <c r="E196" s="139">
        <v>64800</v>
      </c>
      <c r="F196" s="139">
        <v>61600</v>
      </c>
      <c r="G196" s="139">
        <v>51400</v>
      </c>
      <c r="H196" s="139">
        <v>418100</v>
      </c>
      <c r="I196" s="139">
        <v>151800</v>
      </c>
      <c r="J196" s="139">
        <v>235800</v>
      </c>
      <c r="K196" s="139">
        <v>26600</v>
      </c>
    </row>
    <row r="197" spans="2:11" x14ac:dyDescent="0.2">
      <c r="B197" s="138" t="s">
        <v>349</v>
      </c>
      <c r="C197" s="139">
        <v>501</v>
      </c>
      <c r="D197" s="139">
        <v>77700</v>
      </c>
      <c r="E197" s="139">
        <v>60900</v>
      </c>
      <c r="F197" s="139">
        <v>60100</v>
      </c>
      <c r="G197" s="139">
        <v>47600</v>
      </c>
      <c r="H197" s="139">
        <v>419500</v>
      </c>
      <c r="I197" s="139">
        <v>206000</v>
      </c>
      <c r="J197" s="139">
        <v>232500</v>
      </c>
      <c r="K197" s="139">
        <v>25000</v>
      </c>
    </row>
    <row r="198" spans="2:11" x14ac:dyDescent="0.2">
      <c r="B198" s="138" t="s">
        <v>350</v>
      </c>
      <c r="C198" s="139">
        <v>1590</v>
      </c>
      <c r="D198" s="139">
        <v>76500</v>
      </c>
      <c r="E198" s="139">
        <v>62700</v>
      </c>
      <c r="F198" s="139">
        <v>58200</v>
      </c>
      <c r="G198" s="139">
        <v>48400</v>
      </c>
      <c r="H198" s="139">
        <v>426500</v>
      </c>
      <c r="I198" s="139">
        <v>232200</v>
      </c>
      <c r="J198" s="139">
        <v>246200</v>
      </c>
      <c r="K198" s="139">
        <v>35300</v>
      </c>
    </row>
    <row r="199" spans="2:11" x14ac:dyDescent="0.2">
      <c r="B199" s="138" t="s">
        <v>351</v>
      </c>
      <c r="C199" s="139">
        <v>7374</v>
      </c>
      <c r="D199" s="139">
        <v>73900</v>
      </c>
      <c r="E199" s="139">
        <v>63500</v>
      </c>
      <c r="F199" s="139">
        <v>58500</v>
      </c>
      <c r="G199" s="139">
        <v>51600</v>
      </c>
      <c r="H199" s="139">
        <v>292200</v>
      </c>
      <c r="I199" s="139">
        <v>53400</v>
      </c>
      <c r="J199" s="139">
        <v>162900</v>
      </c>
      <c r="K199" s="139">
        <v>19300</v>
      </c>
    </row>
    <row r="200" spans="2:11" x14ac:dyDescent="0.2">
      <c r="B200" s="138" t="s">
        <v>352</v>
      </c>
      <c r="C200" s="139">
        <v>666</v>
      </c>
      <c r="D200" s="139">
        <v>77700</v>
      </c>
      <c r="E200" s="139">
        <v>62100</v>
      </c>
      <c r="F200" s="139">
        <v>59800</v>
      </c>
      <c r="G200" s="139">
        <v>49400</v>
      </c>
      <c r="H200" s="139">
        <v>400800</v>
      </c>
      <c r="I200" s="139">
        <v>172700</v>
      </c>
      <c r="J200" s="139">
        <v>216500</v>
      </c>
      <c r="K200" s="139">
        <v>28000</v>
      </c>
    </row>
    <row r="201" spans="2:11" x14ac:dyDescent="0.2">
      <c r="B201" s="138" t="s">
        <v>353</v>
      </c>
      <c r="C201" s="139">
        <v>4666</v>
      </c>
      <c r="D201" s="139">
        <v>79300</v>
      </c>
      <c r="E201" s="139">
        <v>66200</v>
      </c>
      <c r="F201" s="139">
        <v>61300</v>
      </c>
      <c r="G201" s="139">
        <v>52200</v>
      </c>
      <c r="H201" s="139">
        <v>436600</v>
      </c>
      <c r="I201" s="139">
        <v>129100</v>
      </c>
      <c r="J201" s="139">
        <v>266700</v>
      </c>
      <c r="K201" s="139">
        <v>31500</v>
      </c>
    </row>
    <row r="202" spans="2:11" x14ac:dyDescent="0.2">
      <c r="B202" s="138" t="s">
        <v>354</v>
      </c>
      <c r="C202" s="139">
        <v>2048</v>
      </c>
      <c r="D202" s="139">
        <v>73700</v>
      </c>
      <c r="E202" s="139">
        <v>64200</v>
      </c>
      <c r="F202" s="139">
        <v>55800</v>
      </c>
      <c r="G202" s="139">
        <v>50500</v>
      </c>
      <c r="H202" s="139">
        <v>352900</v>
      </c>
      <c r="I202" s="139">
        <v>237100</v>
      </c>
      <c r="J202" s="139">
        <v>180500</v>
      </c>
      <c r="K202" s="139">
        <v>28100</v>
      </c>
    </row>
    <row r="203" spans="2:11" x14ac:dyDescent="0.2">
      <c r="B203" s="138" t="s">
        <v>355</v>
      </c>
      <c r="C203" s="139">
        <v>607</v>
      </c>
      <c r="D203" s="139">
        <v>75600</v>
      </c>
      <c r="E203" s="139">
        <v>65700</v>
      </c>
      <c r="F203" s="139">
        <v>58200</v>
      </c>
      <c r="G203" s="139">
        <v>50600</v>
      </c>
      <c r="H203" s="139">
        <v>410700</v>
      </c>
      <c r="I203" s="139">
        <v>242300</v>
      </c>
      <c r="J203" s="139">
        <v>220200</v>
      </c>
      <c r="K203" s="139">
        <v>52300</v>
      </c>
    </row>
    <row r="204" spans="2:11" x14ac:dyDescent="0.2">
      <c r="B204" s="138" t="s">
        <v>356</v>
      </c>
      <c r="C204" s="139">
        <v>2587</v>
      </c>
      <c r="D204" s="139">
        <v>73400</v>
      </c>
      <c r="E204" s="139">
        <v>62300</v>
      </c>
      <c r="F204" s="139">
        <v>57000</v>
      </c>
      <c r="G204" s="139">
        <v>49300</v>
      </c>
      <c r="H204" s="139">
        <v>342100</v>
      </c>
      <c r="I204" s="139">
        <v>88800</v>
      </c>
      <c r="J204" s="139">
        <v>205300</v>
      </c>
      <c r="K204" s="139">
        <v>32000</v>
      </c>
    </row>
    <row r="205" spans="2:11" x14ac:dyDescent="0.2">
      <c r="B205" s="138" t="s">
        <v>357</v>
      </c>
      <c r="C205" s="139">
        <v>749</v>
      </c>
      <c r="D205" s="139">
        <v>77200</v>
      </c>
      <c r="E205" s="139">
        <v>65800</v>
      </c>
      <c r="F205" s="139">
        <v>59000</v>
      </c>
      <c r="G205" s="139">
        <v>51400</v>
      </c>
      <c r="H205" s="139">
        <v>421600</v>
      </c>
      <c r="I205" s="139">
        <v>326300</v>
      </c>
      <c r="J205" s="139">
        <v>218100</v>
      </c>
      <c r="K205" s="139">
        <v>47900</v>
      </c>
    </row>
    <row r="206" spans="2:11" x14ac:dyDescent="0.2">
      <c r="B206" s="138" t="s">
        <v>358</v>
      </c>
      <c r="C206" s="139">
        <v>1040</v>
      </c>
      <c r="D206" s="139">
        <v>78800</v>
      </c>
      <c r="E206" s="139">
        <v>67600</v>
      </c>
      <c r="F206" s="139">
        <v>60300</v>
      </c>
      <c r="G206" s="139">
        <v>52100</v>
      </c>
      <c r="H206" s="139">
        <v>465100</v>
      </c>
      <c r="I206" s="139">
        <v>332800</v>
      </c>
      <c r="J206" s="139">
        <v>263200</v>
      </c>
      <c r="K206" s="139">
        <v>56500</v>
      </c>
    </row>
    <row r="207" spans="2:11" x14ac:dyDescent="0.2">
      <c r="B207" s="138" t="s">
        <v>359</v>
      </c>
      <c r="C207" s="139">
        <v>96</v>
      </c>
      <c r="D207" s="139">
        <v>81000</v>
      </c>
      <c r="E207" s="139">
        <v>71200</v>
      </c>
      <c r="F207" s="139">
        <v>59600</v>
      </c>
      <c r="G207" s="139">
        <v>57400</v>
      </c>
      <c r="H207" s="139">
        <v>444100</v>
      </c>
      <c r="I207" s="139">
        <v>410200</v>
      </c>
      <c r="J207" s="139">
        <v>195700</v>
      </c>
      <c r="K207" s="139">
        <v>46100</v>
      </c>
    </row>
    <row r="208" spans="2:11" x14ac:dyDescent="0.2">
      <c r="B208" s="138" t="s">
        <v>360</v>
      </c>
      <c r="C208" s="139">
        <v>6897</v>
      </c>
      <c r="D208" s="139">
        <v>80400</v>
      </c>
      <c r="E208" s="139">
        <v>65400</v>
      </c>
      <c r="F208" s="139">
        <v>63500</v>
      </c>
      <c r="G208" s="139">
        <v>52500</v>
      </c>
      <c r="H208" s="139">
        <v>437200</v>
      </c>
      <c r="I208" s="139">
        <v>77900</v>
      </c>
      <c r="J208" s="139">
        <v>295300</v>
      </c>
      <c r="K208" s="139">
        <v>40200</v>
      </c>
    </row>
    <row r="209" spans="2:11" x14ac:dyDescent="0.2">
      <c r="B209" s="125" t="s">
        <v>361</v>
      </c>
      <c r="C209" s="127">
        <v>17684</v>
      </c>
      <c r="D209" s="127">
        <v>81100</v>
      </c>
      <c r="E209" s="127">
        <v>67000</v>
      </c>
      <c r="F209" s="127">
        <v>63000</v>
      </c>
      <c r="G209" s="127">
        <v>52800</v>
      </c>
      <c r="H209" s="127">
        <v>447400</v>
      </c>
      <c r="I209" s="127">
        <v>187000</v>
      </c>
      <c r="J209" s="127">
        <v>269900</v>
      </c>
      <c r="K209" s="127">
        <v>40400</v>
      </c>
    </row>
    <row r="210" spans="2:11" x14ac:dyDescent="0.2">
      <c r="B210" s="138" t="s">
        <v>362</v>
      </c>
      <c r="C210" s="139">
        <v>2288</v>
      </c>
      <c r="D210" s="139">
        <v>80700</v>
      </c>
      <c r="E210" s="139">
        <v>65000</v>
      </c>
      <c r="F210" s="139">
        <v>64600</v>
      </c>
      <c r="G210" s="139">
        <v>51900</v>
      </c>
      <c r="H210" s="139">
        <v>492900</v>
      </c>
      <c r="I210" s="139">
        <v>119200</v>
      </c>
      <c r="J210" s="139">
        <v>353600</v>
      </c>
      <c r="K210" s="139">
        <v>40200</v>
      </c>
    </row>
    <row r="211" spans="2:11" x14ac:dyDescent="0.2">
      <c r="B211" s="138" t="s">
        <v>363</v>
      </c>
      <c r="C211" s="139">
        <v>152</v>
      </c>
      <c r="D211" s="139">
        <v>81300</v>
      </c>
      <c r="E211" s="139">
        <v>69800</v>
      </c>
      <c r="F211" s="139">
        <v>59100</v>
      </c>
      <c r="G211" s="139">
        <v>51500</v>
      </c>
      <c r="H211" s="139">
        <v>435600</v>
      </c>
      <c r="I211" s="139">
        <v>307100</v>
      </c>
      <c r="J211" s="139">
        <v>219300</v>
      </c>
      <c r="K211" s="139">
        <v>31800</v>
      </c>
    </row>
    <row r="212" spans="2:11" x14ac:dyDescent="0.2">
      <c r="B212" s="138" t="s">
        <v>364</v>
      </c>
      <c r="C212" s="139">
        <v>88</v>
      </c>
      <c r="D212" s="139">
        <v>89900</v>
      </c>
      <c r="E212" s="139">
        <v>78800</v>
      </c>
      <c r="F212" s="139">
        <v>66100</v>
      </c>
      <c r="G212" s="139">
        <v>54700</v>
      </c>
      <c r="H212" s="139">
        <v>567500</v>
      </c>
      <c r="I212" s="139">
        <v>415100</v>
      </c>
      <c r="J212" s="139">
        <v>335200</v>
      </c>
      <c r="K212" s="139">
        <v>130400</v>
      </c>
    </row>
    <row r="213" spans="2:11" x14ac:dyDescent="0.2">
      <c r="B213" s="138" t="s">
        <v>365</v>
      </c>
      <c r="C213" s="139">
        <v>2003</v>
      </c>
      <c r="D213" s="139">
        <v>76900</v>
      </c>
      <c r="E213" s="139">
        <v>63900</v>
      </c>
      <c r="F213" s="139">
        <v>60200</v>
      </c>
      <c r="G213" s="139">
        <v>51000</v>
      </c>
      <c r="H213" s="139">
        <v>354900</v>
      </c>
      <c r="I213" s="139">
        <v>95700</v>
      </c>
      <c r="J213" s="139">
        <v>213400</v>
      </c>
      <c r="K213" s="139">
        <v>31400</v>
      </c>
    </row>
    <row r="214" spans="2:11" x14ac:dyDescent="0.2">
      <c r="B214" s="138" t="s">
        <v>366</v>
      </c>
      <c r="C214" s="139">
        <v>2088</v>
      </c>
      <c r="D214" s="139">
        <v>78500</v>
      </c>
      <c r="E214" s="139">
        <v>65200</v>
      </c>
      <c r="F214" s="139">
        <v>61900</v>
      </c>
      <c r="G214" s="139">
        <v>52200</v>
      </c>
      <c r="H214" s="139">
        <v>388300</v>
      </c>
      <c r="I214" s="139">
        <v>100700</v>
      </c>
      <c r="J214" s="139">
        <v>236100</v>
      </c>
      <c r="K214" s="139">
        <v>23700</v>
      </c>
    </row>
    <row r="215" spans="2:11" x14ac:dyDescent="0.2">
      <c r="B215" s="138" t="s">
        <v>367</v>
      </c>
      <c r="C215" s="139">
        <v>1051</v>
      </c>
      <c r="D215" s="139">
        <v>89000</v>
      </c>
      <c r="E215" s="139">
        <v>75000</v>
      </c>
      <c r="F215" s="139">
        <v>68600</v>
      </c>
      <c r="G215" s="139">
        <v>58700</v>
      </c>
      <c r="H215" s="139">
        <v>539000</v>
      </c>
      <c r="I215" s="139">
        <v>297100</v>
      </c>
      <c r="J215" s="139">
        <v>309500</v>
      </c>
      <c r="K215" s="139">
        <v>59100</v>
      </c>
    </row>
    <row r="216" spans="2:11" x14ac:dyDescent="0.2">
      <c r="B216" s="138" t="s">
        <v>368</v>
      </c>
      <c r="C216" s="139">
        <v>202</v>
      </c>
      <c r="D216" s="139">
        <v>82500</v>
      </c>
      <c r="E216" s="139">
        <v>69900</v>
      </c>
      <c r="F216" s="139">
        <v>63200</v>
      </c>
      <c r="G216" s="139">
        <v>57800</v>
      </c>
      <c r="H216" s="139">
        <v>471800</v>
      </c>
      <c r="I216" s="139">
        <v>215200</v>
      </c>
      <c r="J216" s="139">
        <v>266600</v>
      </c>
      <c r="K216" s="139">
        <v>29000</v>
      </c>
    </row>
    <row r="217" spans="2:11" x14ac:dyDescent="0.2">
      <c r="B217" s="138" t="s">
        <v>369</v>
      </c>
      <c r="C217" s="139">
        <v>438</v>
      </c>
      <c r="D217" s="139">
        <v>84000</v>
      </c>
      <c r="E217" s="139">
        <v>67700</v>
      </c>
      <c r="F217" s="139">
        <v>63600</v>
      </c>
      <c r="G217" s="139">
        <v>52500</v>
      </c>
      <c r="H217" s="139">
        <v>547100</v>
      </c>
      <c r="I217" s="139">
        <v>420400</v>
      </c>
      <c r="J217" s="139">
        <v>344800</v>
      </c>
      <c r="K217" s="139">
        <v>90700</v>
      </c>
    </row>
    <row r="218" spans="2:11" x14ac:dyDescent="0.2">
      <c r="B218" s="138" t="s">
        <v>370</v>
      </c>
      <c r="C218" s="139">
        <v>222</v>
      </c>
      <c r="D218" s="139">
        <v>79800</v>
      </c>
      <c r="E218" s="139">
        <v>64200</v>
      </c>
      <c r="F218" s="139">
        <v>60800</v>
      </c>
      <c r="G218" s="139">
        <v>52600</v>
      </c>
      <c r="H218" s="139">
        <v>382200</v>
      </c>
      <c r="I218" s="139">
        <v>106900</v>
      </c>
      <c r="J218" s="139">
        <v>216500</v>
      </c>
      <c r="K218" s="139">
        <v>31600</v>
      </c>
    </row>
    <row r="219" spans="2:11" x14ac:dyDescent="0.2">
      <c r="B219" s="6" t="s">
        <v>371</v>
      </c>
      <c r="C219" s="139">
        <v>1873</v>
      </c>
      <c r="D219" s="139">
        <v>78300</v>
      </c>
      <c r="E219" s="139">
        <v>64800</v>
      </c>
      <c r="F219" s="139">
        <v>60700</v>
      </c>
      <c r="G219" s="139">
        <v>50400</v>
      </c>
      <c r="H219" s="139">
        <v>425200</v>
      </c>
      <c r="I219" s="139">
        <v>119700</v>
      </c>
      <c r="J219" s="139">
        <v>252700</v>
      </c>
      <c r="K219" s="139">
        <v>36000</v>
      </c>
    </row>
    <row r="220" spans="2:11" x14ac:dyDescent="0.2">
      <c r="B220" s="6" t="s">
        <v>372</v>
      </c>
      <c r="C220" s="139">
        <v>836</v>
      </c>
      <c r="D220" s="139">
        <v>71200</v>
      </c>
      <c r="E220" s="139">
        <v>63400</v>
      </c>
      <c r="F220" s="139">
        <v>54900</v>
      </c>
      <c r="G220" s="139">
        <v>50200</v>
      </c>
      <c r="H220" s="139">
        <v>289700</v>
      </c>
      <c r="I220" s="139">
        <v>77800</v>
      </c>
      <c r="J220" s="139">
        <v>151100</v>
      </c>
      <c r="K220" s="139">
        <v>25200</v>
      </c>
    </row>
    <row r="221" spans="2:11" x14ac:dyDescent="0.2">
      <c r="B221" s="6" t="s">
        <v>373</v>
      </c>
      <c r="C221" s="139">
        <v>665</v>
      </c>
      <c r="D221" s="139">
        <v>79400</v>
      </c>
      <c r="E221" s="139">
        <v>68000</v>
      </c>
      <c r="F221" s="139">
        <v>62700</v>
      </c>
      <c r="G221" s="139">
        <v>54200</v>
      </c>
      <c r="H221" s="139">
        <v>461700</v>
      </c>
      <c r="I221" s="139">
        <v>247100</v>
      </c>
      <c r="J221" s="139">
        <v>321200</v>
      </c>
      <c r="K221" s="139">
        <v>74300</v>
      </c>
    </row>
    <row r="222" spans="2:11" x14ac:dyDescent="0.2">
      <c r="B222" s="6" t="s">
        <v>556</v>
      </c>
      <c r="C222" s="139">
        <v>1375</v>
      </c>
      <c r="D222" s="139">
        <v>90200</v>
      </c>
      <c r="E222" s="139">
        <v>71000</v>
      </c>
      <c r="F222" s="139">
        <v>69800</v>
      </c>
      <c r="G222" s="139">
        <v>55800</v>
      </c>
      <c r="H222" s="139">
        <v>564400</v>
      </c>
      <c r="I222" s="139">
        <v>203400</v>
      </c>
      <c r="J222" s="139">
        <v>340200</v>
      </c>
      <c r="K222" s="139">
        <v>41800</v>
      </c>
    </row>
    <row r="223" spans="2:11" x14ac:dyDescent="0.2">
      <c r="B223" s="6" t="s">
        <v>374</v>
      </c>
      <c r="C223" s="139">
        <v>1198</v>
      </c>
      <c r="D223" s="139">
        <v>79500</v>
      </c>
      <c r="E223" s="139">
        <v>65400</v>
      </c>
      <c r="F223" s="139">
        <v>61000</v>
      </c>
      <c r="G223" s="139">
        <v>50800</v>
      </c>
      <c r="H223" s="139">
        <v>451500</v>
      </c>
      <c r="I223" s="139">
        <v>296500</v>
      </c>
      <c r="J223" s="139">
        <v>261300</v>
      </c>
      <c r="K223" s="139">
        <v>57300</v>
      </c>
    </row>
    <row r="224" spans="2:11" x14ac:dyDescent="0.2">
      <c r="B224" s="6" t="s">
        <v>375</v>
      </c>
      <c r="C224" s="139">
        <v>132</v>
      </c>
      <c r="D224" s="139">
        <v>77500</v>
      </c>
      <c r="E224" s="139">
        <v>64400</v>
      </c>
      <c r="F224" s="139">
        <v>58100</v>
      </c>
      <c r="G224" s="139">
        <v>48700</v>
      </c>
      <c r="H224" s="139">
        <v>510500</v>
      </c>
      <c r="I224" s="139">
        <v>350500</v>
      </c>
      <c r="J224" s="139">
        <v>315400</v>
      </c>
      <c r="K224" s="139">
        <v>62200</v>
      </c>
    </row>
    <row r="225" spans="2:11" x14ac:dyDescent="0.2">
      <c r="B225" s="6" t="s">
        <v>557</v>
      </c>
      <c r="C225" s="139">
        <v>511</v>
      </c>
      <c r="D225" s="139">
        <v>73900</v>
      </c>
      <c r="E225" s="139">
        <v>66800</v>
      </c>
      <c r="F225" s="139">
        <v>54900</v>
      </c>
      <c r="G225" s="139">
        <v>49800</v>
      </c>
      <c r="H225" s="139">
        <v>338100</v>
      </c>
      <c r="I225" s="139">
        <v>227400</v>
      </c>
      <c r="J225" s="139">
        <v>158800</v>
      </c>
      <c r="K225" s="139">
        <v>19100</v>
      </c>
    </row>
    <row r="226" spans="2:11" x14ac:dyDescent="0.2">
      <c r="B226" s="6" t="s">
        <v>376</v>
      </c>
      <c r="C226" s="139">
        <v>370</v>
      </c>
      <c r="D226" s="139">
        <v>77300</v>
      </c>
      <c r="E226" s="139">
        <v>67900</v>
      </c>
      <c r="F226" s="139">
        <v>59100</v>
      </c>
      <c r="G226" s="139">
        <v>53300</v>
      </c>
      <c r="H226" s="139">
        <v>334900</v>
      </c>
      <c r="I226" s="139">
        <v>195500</v>
      </c>
      <c r="J226" s="139">
        <v>156600</v>
      </c>
      <c r="K226" s="139">
        <v>19100</v>
      </c>
    </row>
    <row r="227" spans="2:11" x14ac:dyDescent="0.2">
      <c r="B227" s="6" t="s">
        <v>377</v>
      </c>
      <c r="C227" s="139">
        <v>142</v>
      </c>
      <c r="D227" s="139">
        <v>71400</v>
      </c>
      <c r="E227" s="139">
        <v>63900</v>
      </c>
      <c r="F227" s="139">
        <v>53100</v>
      </c>
      <c r="G227" s="139">
        <v>47800</v>
      </c>
      <c r="H227" s="139">
        <v>338100</v>
      </c>
      <c r="I227" s="139">
        <v>61700</v>
      </c>
      <c r="J227" s="139">
        <v>188100</v>
      </c>
      <c r="K227" s="139">
        <v>14300</v>
      </c>
    </row>
    <row r="228" spans="2:11" x14ac:dyDescent="0.2">
      <c r="B228" s="6" t="s">
        <v>378</v>
      </c>
      <c r="C228" s="139">
        <v>734</v>
      </c>
      <c r="D228" s="139">
        <v>92400</v>
      </c>
      <c r="E228" s="139">
        <v>78500</v>
      </c>
      <c r="F228" s="139">
        <v>71400</v>
      </c>
      <c r="G228" s="139">
        <v>61300</v>
      </c>
      <c r="H228" s="139">
        <v>590700</v>
      </c>
      <c r="I228" s="139">
        <v>457700</v>
      </c>
      <c r="J228" s="139">
        <v>346300</v>
      </c>
      <c r="K228" s="139">
        <v>107700</v>
      </c>
    </row>
    <row r="229" spans="2:11" x14ac:dyDescent="0.2">
      <c r="B229" s="6" t="s">
        <v>379</v>
      </c>
      <c r="C229" s="139">
        <v>330</v>
      </c>
      <c r="D229" s="139">
        <v>88700</v>
      </c>
      <c r="E229" s="139">
        <v>73700</v>
      </c>
      <c r="F229" s="139">
        <v>66400</v>
      </c>
      <c r="G229" s="139">
        <v>54200</v>
      </c>
      <c r="H229" s="139">
        <v>431000</v>
      </c>
      <c r="I229" s="139">
        <v>299900</v>
      </c>
      <c r="J229" s="139">
        <v>182100</v>
      </c>
      <c r="K229" s="139">
        <v>27600</v>
      </c>
    </row>
    <row r="230" spans="2:11" x14ac:dyDescent="0.2">
      <c r="B230" s="6" t="s">
        <v>380</v>
      </c>
      <c r="C230" s="139">
        <v>603</v>
      </c>
      <c r="D230" s="139">
        <v>89200</v>
      </c>
      <c r="E230" s="139">
        <v>72900</v>
      </c>
      <c r="F230" s="139">
        <v>68200</v>
      </c>
      <c r="G230" s="139">
        <v>56400</v>
      </c>
      <c r="H230" s="139">
        <v>554700</v>
      </c>
      <c r="I230" s="139">
        <v>280600</v>
      </c>
      <c r="J230" s="139">
        <v>315300</v>
      </c>
      <c r="K230" s="139">
        <v>58000</v>
      </c>
    </row>
    <row r="231" spans="2:11" x14ac:dyDescent="0.2">
      <c r="B231" s="6" t="s">
        <v>381</v>
      </c>
      <c r="C231" s="139">
        <v>199</v>
      </c>
      <c r="D231" s="139">
        <v>82100</v>
      </c>
      <c r="E231" s="139">
        <v>72300</v>
      </c>
      <c r="F231" s="139">
        <v>63200</v>
      </c>
      <c r="G231" s="139">
        <v>55300</v>
      </c>
      <c r="H231" s="139">
        <v>483600</v>
      </c>
      <c r="I231" s="139">
        <v>330900</v>
      </c>
      <c r="J231" s="139">
        <v>289800</v>
      </c>
      <c r="K231" s="139">
        <v>62800</v>
      </c>
    </row>
    <row r="232" spans="2:11" x14ac:dyDescent="0.2">
      <c r="B232" s="6" t="s">
        <v>382</v>
      </c>
      <c r="C232" s="126">
        <v>184</v>
      </c>
      <c r="D232" s="126">
        <v>79700</v>
      </c>
      <c r="E232" s="126">
        <v>67600</v>
      </c>
      <c r="F232" s="126">
        <v>60100</v>
      </c>
      <c r="G232" s="126">
        <v>52000</v>
      </c>
      <c r="H232" s="126">
        <v>425300</v>
      </c>
      <c r="I232" s="126">
        <v>249200</v>
      </c>
      <c r="J232" s="126">
        <v>212200</v>
      </c>
      <c r="K232" s="126">
        <v>67000</v>
      </c>
    </row>
    <row r="233" spans="2:11" s="222" customFormat="1" x14ac:dyDescent="0.2">
      <c r="B233" s="185"/>
      <c r="C233" s="126"/>
      <c r="D233" s="126"/>
      <c r="E233" s="126"/>
      <c r="F233" s="126"/>
      <c r="G233" s="126"/>
      <c r="H233" s="126"/>
      <c r="I233" s="126"/>
      <c r="J233" s="126"/>
      <c r="K233" s="126"/>
    </row>
    <row r="234" spans="2:11" s="222" customFormat="1" x14ac:dyDescent="0.2">
      <c r="B234" s="185"/>
      <c r="C234" s="126"/>
      <c r="D234" s="126"/>
      <c r="E234" s="126"/>
      <c r="F234" s="126"/>
      <c r="G234" s="126"/>
      <c r="H234" s="126"/>
      <c r="I234" s="126"/>
      <c r="J234" s="126"/>
      <c r="K234" s="126"/>
    </row>
    <row r="235" spans="2:11" ht="40.5" customHeight="1" x14ac:dyDescent="0.2">
      <c r="B235" s="317" t="s">
        <v>509</v>
      </c>
      <c r="C235" s="302"/>
      <c r="D235" s="302"/>
      <c r="E235" s="302"/>
      <c r="F235" s="302"/>
      <c r="G235" s="302"/>
      <c r="H235" s="302"/>
      <c r="I235" s="302"/>
      <c r="J235" s="302"/>
      <c r="K235" s="302"/>
    </row>
    <row r="236" spans="2:11" ht="27" customHeight="1" x14ac:dyDescent="0.2">
      <c r="B236" s="317" t="s">
        <v>665</v>
      </c>
      <c r="C236" s="302"/>
      <c r="D236" s="302"/>
      <c r="E236" s="302"/>
      <c r="F236" s="302"/>
      <c r="G236" s="302"/>
      <c r="H236" s="302"/>
      <c r="I236" s="302"/>
      <c r="J236" s="302"/>
      <c r="K236" s="302"/>
    </row>
    <row r="237" spans="2:11" x14ac:dyDescent="0.2">
      <c r="B237" s="6"/>
      <c r="C237" s="126"/>
      <c r="D237" s="126"/>
      <c r="E237" s="126"/>
      <c r="F237" s="126"/>
      <c r="G237" s="126"/>
      <c r="H237" s="126"/>
      <c r="I237" s="126"/>
      <c r="J237" s="126"/>
      <c r="K237" s="126"/>
    </row>
    <row r="238" spans="2:11" x14ac:dyDescent="0.2">
      <c r="B238" s="6"/>
      <c r="C238" s="126"/>
      <c r="D238" s="126"/>
      <c r="E238" s="126"/>
      <c r="F238" s="126"/>
      <c r="G238" s="126"/>
      <c r="H238" s="126"/>
      <c r="I238" s="126"/>
      <c r="J238" s="126"/>
      <c r="K238" s="126"/>
    </row>
    <row r="239" spans="2:11" x14ac:dyDescent="0.2">
      <c r="B239" s="6"/>
      <c r="C239" s="126"/>
      <c r="D239" s="126"/>
      <c r="E239" s="126"/>
      <c r="F239" s="126"/>
      <c r="G239" s="126"/>
      <c r="H239" s="126"/>
      <c r="I239" s="126"/>
      <c r="J239" s="126"/>
      <c r="K239" s="126"/>
    </row>
    <row r="240" spans="2:11" x14ac:dyDescent="0.2">
      <c r="B240" s="6"/>
      <c r="C240" s="126"/>
      <c r="D240" s="126"/>
      <c r="E240" s="126"/>
      <c r="F240" s="126"/>
      <c r="G240" s="126"/>
      <c r="H240" s="126"/>
      <c r="I240" s="126"/>
      <c r="J240" s="126"/>
      <c r="K240" s="126"/>
    </row>
    <row r="241" spans="2:11" x14ac:dyDescent="0.2">
      <c r="B241" s="6"/>
      <c r="C241" s="126"/>
      <c r="D241" s="126"/>
      <c r="E241" s="126"/>
      <c r="F241" s="126"/>
      <c r="G241" s="126"/>
      <c r="H241" s="126"/>
      <c r="I241" s="126"/>
      <c r="J241" s="126"/>
      <c r="K241" s="126"/>
    </row>
    <row r="242" spans="2:11" x14ac:dyDescent="0.2">
      <c r="B242" s="6"/>
      <c r="C242" s="126"/>
      <c r="D242" s="126"/>
      <c r="E242" s="126"/>
      <c r="F242" s="126"/>
      <c r="G242" s="126"/>
      <c r="H242" s="126"/>
      <c r="I242" s="126"/>
      <c r="J242" s="126"/>
      <c r="K242" s="126"/>
    </row>
  </sheetData>
  <mergeCells count="7">
    <mergeCell ref="B235:K235"/>
    <mergeCell ref="B236:K236"/>
    <mergeCell ref="B3:B4"/>
    <mergeCell ref="D3:E3"/>
    <mergeCell ref="F3:G3"/>
    <mergeCell ref="H3:I3"/>
    <mergeCell ref="J3:K3"/>
  </mergeCells>
  <pageMargins left="0.78740157480314965" right="0.78740157480314965" top="0.98425196850393704" bottom="0.98425196850393704" header="0.51181102362204722" footer="0.51181102362204722"/>
  <pageSetup paperSize="9" fitToHeight="0" orientation="landscape" r:id="rId1"/>
  <headerFooter alignWithMargins="0"/>
  <rowBreaks count="3" manualBreakCount="3">
    <brk id="34" max="10" man="1"/>
    <brk id="70" max="10" man="1"/>
    <brk id="106" max="10" man="1"/>
  </row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97E"/>
    <pageSetUpPr fitToPage="1"/>
  </sheetPr>
  <dimension ref="B1:AE240"/>
  <sheetViews>
    <sheetView view="pageBreakPreview" zoomScaleNormal="100" zoomScaleSheetLayoutView="100" zoomScalePageLayoutView="70" workbookViewId="0">
      <selection activeCell="B1" sqref="B1"/>
    </sheetView>
  </sheetViews>
  <sheetFormatPr baseColWidth="10" defaultRowHeight="12.75" x14ac:dyDescent="0.2"/>
  <cols>
    <col min="1" max="1" width="2" style="164" customWidth="1"/>
    <col min="2" max="2" width="19" style="164" bestFit="1" customWidth="1"/>
    <col min="3" max="3" width="11.42578125" style="164" customWidth="1"/>
    <col min="4" max="13" width="12.7109375" style="164" customWidth="1"/>
    <col min="14" max="14" width="6.5703125" style="164" customWidth="1"/>
    <col min="15" max="15" width="3.85546875" style="164" customWidth="1"/>
    <col min="16" max="16384" width="11.42578125" style="164"/>
  </cols>
  <sheetData>
    <row r="1" spans="2:31" s="11" customFormat="1" ht="15.75" x14ac:dyDescent="0.2">
      <c r="B1" s="213" t="str">
        <f>Inhaltsverzeichnis!B66&amp;" "&amp;Inhaltsverzeichnis!C66&amp;" "&amp;Inhaltsverzeichnis!E66</f>
        <v>Tabelle 28: Steuerpflichtige mit Wohnsitz im Kanton Aargau nach Einkommens- und Vermögensstufen und Gemeinden, in Prozent, 2013</v>
      </c>
      <c r="C1" s="213"/>
      <c r="D1" s="213"/>
      <c r="E1" s="214"/>
      <c r="F1" s="214"/>
      <c r="G1" s="214"/>
      <c r="H1" s="214"/>
      <c r="I1" s="214"/>
      <c r="J1" s="214"/>
      <c r="K1" s="214"/>
      <c r="L1" s="214"/>
      <c r="M1" s="214"/>
      <c r="N1" s="214"/>
      <c r="O1" s="214"/>
      <c r="P1" s="214"/>
      <c r="Q1" s="214"/>
      <c r="R1" s="214"/>
      <c r="S1" s="214"/>
      <c r="T1" s="214"/>
      <c r="U1" s="214"/>
      <c r="V1" s="163"/>
      <c r="W1" s="163"/>
      <c r="X1" s="163"/>
      <c r="Y1" s="163"/>
      <c r="Z1" s="163"/>
      <c r="AA1" s="163"/>
      <c r="AB1" s="163"/>
      <c r="AC1" s="163"/>
      <c r="AD1" s="163"/>
      <c r="AE1" s="163"/>
    </row>
    <row r="3" spans="2:31" s="165" customFormat="1" ht="27" customHeight="1" x14ac:dyDescent="0.2">
      <c r="B3" s="248" t="s">
        <v>176</v>
      </c>
      <c r="C3" s="321" t="s">
        <v>10</v>
      </c>
      <c r="D3" s="318" t="s">
        <v>578</v>
      </c>
      <c r="E3" s="245"/>
      <c r="F3" s="245"/>
      <c r="G3" s="245"/>
      <c r="H3" s="278"/>
      <c r="I3" s="275" t="s">
        <v>579</v>
      </c>
      <c r="J3" s="319"/>
      <c r="K3" s="319"/>
      <c r="L3" s="319"/>
      <c r="M3" s="320"/>
    </row>
    <row r="4" spans="2:31" ht="15" customHeight="1" x14ac:dyDescent="0.2">
      <c r="B4" s="249"/>
      <c r="C4" s="322"/>
      <c r="D4" s="210" t="s">
        <v>510</v>
      </c>
      <c r="E4" s="166" t="s">
        <v>613</v>
      </c>
      <c r="F4" s="166" t="s">
        <v>614</v>
      </c>
      <c r="G4" s="166" t="s">
        <v>615</v>
      </c>
      <c r="H4" s="166" t="s">
        <v>511</v>
      </c>
      <c r="I4" s="166" t="s">
        <v>616</v>
      </c>
      <c r="J4" s="166" t="s">
        <v>614</v>
      </c>
      <c r="K4" s="166" t="s">
        <v>482</v>
      </c>
      <c r="L4" s="166" t="s">
        <v>617</v>
      </c>
      <c r="M4" s="166" t="s">
        <v>512</v>
      </c>
    </row>
    <row r="5" spans="2:31" x14ac:dyDescent="0.2">
      <c r="B5" s="125" t="s">
        <v>179</v>
      </c>
      <c r="C5" s="169">
        <v>344671</v>
      </c>
      <c r="D5" s="167">
        <v>18.823167600407345</v>
      </c>
      <c r="E5" s="167">
        <v>26.025398133292327</v>
      </c>
      <c r="F5" s="167">
        <v>38.313928354865944</v>
      </c>
      <c r="G5" s="167">
        <v>11.3957948304325</v>
      </c>
      <c r="H5" s="167">
        <v>5.4417110810018832</v>
      </c>
      <c r="I5" s="167">
        <v>53.51538133466407</v>
      </c>
      <c r="J5" s="167">
        <v>9.1376994293108496</v>
      </c>
      <c r="K5" s="167">
        <v>9.6619674994414968</v>
      </c>
      <c r="L5" s="167">
        <v>13.321399247398244</v>
      </c>
      <c r="M5" s="167">
        <v>14.36355248918534</v>
      </c>
    </row>
    <row r="6" spans="2:31" x14ac:dyDescent="0.2">
      <c r="B6" s="125" t="s">
        <v>180</v>
      </c>
      <c r="C6" s="169">
        <v>29849</v>
      </c>
      <c r="D6" s="167">
        <v>18.412677141612786</v>
      </c>
      <c r="E6" s="167">
        <v>25.706053804147544</v>
      </c>
      <c r="F6" s="167">
        <v>39.344701665047403</v>
      </c>
      <c r="G6" s="167">
        <v>11.481121645616268</v>
      </c>
      <c r="H6" s="167">
        <v>5.0554457435759996</v>
      </c>
      <c r="I6" s="167">
        <v>52.118998961439246</v>
      </c>
      <c r="J6" s="167">
        <v>9.3570973901973264</v>
      </c>
      <c r="K6" s="167">
        <v>9.852926396194178</v>
      </c>
      <c r="L6" s="167">
        <v>13.658749036818653</v>
      </c>
      <c r="M6" s="167">
        <v>15.012228215350598</v>
      </c>
    </row>
    <row r="7" spans="2:31" ht="14.25" x14ac:dyDescent="0.2">
      <c r="B7" s="138" t="s">
        <v>664</v>
      </c>
      <c r="C7" s="225" t="s">
        <v>663</v>
      </c>
      <c r="D7" s="225" t="s">
        <v>663</v>
      </c>
      <c r="E7" s="225" t="s">
        <v>663</v>
      </c>
      <c r="F7" s="225" t="s">
        <v>663</v>
      </c>
      <c r="G7" s="225" t="s">
        <v>663</v>
      </c>
      <c r="H7" s="225" t="s">
        <v>663</v>
      </c>
      <c r="I7" s="225" t="s">
        <v>663</v>
      </c>
      <c r="J7" s="225" t="s">
        <v>663</v>
      </c>
      <c r="K7" s="225" t="s">
        <v>663</v>
      </c>
      <c r="L7" s="225" t="s">
        <v>663</v>
      </c>
      <c r="M7" s="225" t="s">
        <v>663</v>
      </c>
    </row>
    <row r="8" spans="2:31" x14ac:dyDescent="0.2">
      <c r="B8" s="189" t="s">
        <v>181</v>
      </c>
      <c r="C8" s="170">
        <v>861</v>
      </c>
      <c r="D8" s="168">
        <v>14.750290360046458</v>
      </c>
      <c r="E8" s="168">
        <v>18.931475029036005</v>
      </c>
      <c r="F8" s="168">
        <v>38.095238095238095</v>
      </c>
      <c r="G8" s="168">
        <v>16.608594657375146</v>
      </c>
      <c r="H8" s="168">
        <v>11.614401858304298</v>
      </c>
      <c r="I8" s="168">
        <v>41.11498257839721</v>
      </c>
      <c r="J8" s="168">
        <v>8.4785133565621376</v>
      </c>
      <c r="K8" s="168">
        <v>9.6399535423925666</v>
      </c>
      <c r="L8" s="168">
        <v>18.002322880371661</v>
      </c>
      <c r="M8" s="168">
        <v>22.764227642276424</v>
      </c>
    </row>
    <row r="9" spans="2:31" x14ac:dyDescent="0.2">
      <c r="B9" s="189" t="s">
        <v>537</v>
      </c>
      <c r="C9" s="170">
        <v>4171</v>
      </c>
      <c r="D9" s="168">
        <v>16.854471349796214</v>
      </c>
      <c r="E9" s="168">
        <v>25.797170942220092</v>
      </c>
      <c r="F9" s="168">
        <v>42.124190841524815</v>
      </c>
      <c r="G9" s="168">
        <v>11.172380724046992</v>
      </c>
      <c r="H9" s="168">
        <v>4.0517861424118919</v>
      </c>
      <c r="I9" s="168">
        <v>55.118676576360585</v>
      </c>
      <c r="J9" s="168">
        <v>10.093502757132581</v>
      </c>
      <c r="K9" s="168">
        <v>10.045552625269719</v>
      </c>
      <c r="L9" s="168">
        <v>13.282186526012946</v>
      </c>
      <c r="M9" s="168">
        <v>11.460081515224166</v>
      </c>
    </row>
    <row r="10" spans="2:31" x14ac:dyDescent="0.2">
      <c r="B10" s="189" t="s">
        <v>182</v>
      </c>
      <c r="C10" s="170">
        <v>401</v>
      </c>
      <c r="D10" s="168">
        <v>23.940149625935163</v>
      </c>
      <c r="E10" s="168">
        <v>30.174563591022444</v>
      </c>
      <c r="F10" s="168">
        <v>33.915211970074814</v>
      </c>
      <c r="G10" s="168">
        <v>8.2294264339152114</v>
      </c>
      <c r="H10" s="168">
        <v>3.7406483790523692</v>
      </c>
      <c r="I10" s="168">
        <v>47.630922693266832</v>
      </c>
      <c r="J10" s="168">
        <v>7.7306733167082298</v>
      </c>
      <c r="K10" s="168">
        <v>7.7306733167082298</v>
      </c>
      <c r="L10" s="168">
        <v>20.448877805486283</v>
      </c>
      <c r="M10" s="168">
        <v>16.458852867830423</v>
      </c>
    </row>
    <row r="11" spans="2:31" x14ac:dyDescent="0.2">
      <c r="B11" s="189" t="s">
        <v>538</v>
      </c>
      <c r="C11" s="170">
        <v>2148</v>
      </c>
      <c r="D11" s="168">
        <v>18.947858472998139</v>
      </c>
      <c r="E11" s="168">
        <v>20.903165735567971</v>
      </c>
      <c r="F11" s="168">
        <v>38.268156424581008</v>
      </c>
      <c r="G11" s="168">
        <v>14.19925512104283</v>
      </c>
      <c r="H11" s="168">
        <v>7.6815642458100557</v>
      </c>
      <c r="I11" s="168">
        <v>48.184357541899445</v>
      </c>
      <c r="J11" s="168">
        <v>8.2867783985102417</v>
      </c>
      <c r="K11" s="168">
        <v>9.2178770949720672</v>
      </c>
      <c r="L11" s="168">
        <v>14.571694599627561</v>
      </c>
      <c r="M11" s="168">
        <v>19.739292364990689</v>
      </c>
    </row>
    <row r="12" spans="2:31" x14ac:dyDescent="0.2">
      <c r="B12" s="189" t="s">
        <v>183</v>
      </c>
      <c r="C12" s="170">
        <v>4044</v>
      </c>
      <c r="D12" s="168">
        <v>17.680514342235412</v>
      </c>
      <c r="E12" s="168">
        <v>26.582591493570721</v>
      </c>
      <c r="F12" s="168">
        <v>40.875370919881306</v>
      </c>
      <c r="G12" s="168">
        <v>11.251236399604352</v>
      </c>
      <c r="H12" s="168">
        <v>3.6102868447082095</v>
      </c>
      <c r="I12" s="168">
        <v>52.176063303659745</v>
      </c>
      <c r="J12" s="168">
        <v>9.0999010880316522</v>
      </c>
      <c r="K12" s="168">
        <v>10.237388724035608</v>
      </c>
      <c r="L12" s="168">
        <v>13.67457962413452</v>
      </c>
      <c r="M12" s="168">
        <v>14.812067260138477</v>
      </c>
    </row>
    <row r="13" spans="2:31" x14ac:dyDescent="0.2">
      <c r="B13" s="189" t="s">
        <v>184</v>
      </c>
      <c r="C13" s="170">
        <v>844</v>
      </c>
      <c r="D13" s="168">
        <v>16.350710900473935</v>
      </c>
      <c r="E13" s="168">
        <v>23.81516587677725</v>
      </c>
      <c r="F13" s="168">
        <v>42.061611374407583</v>
      </c>
      <c r="G13" s="168">
        <v>11.374407582938389</v>
      </c>
      <c r="H13" s="168">
        <v>6.3981042654028437</v>
      </c>
      <c r="I13" s="168">
        <v>51.777251184834121</v>
      </c>
      <c r="J13" s="168">
        <v>9.7156398104265396</v>
      </c>
      <c r="K13" s="168">
        <v>7.701421800947867</v>
      </c>
      <c r="L13" s="168">
        <v>13.507109004739336</v>
      </c>
      <c r="M13" s="168">
        <v>17.298578199052134</v>
      </c>
    </row>
    <row r="14" spans="2:31" x14ac:dyDescent="0.2">
      <c r="B14" s="189" t="s">
        <v>185</v>
      </c>
      <c r="C14" s="170">
        <v>3410</v>
      </c>
      <c r="D14" s="168">
        <v>17.595307917888562</v>
      </c>
      <c r="E14" s="168">
        <v>23.870967741935484</v>
      </c>
      <c r="F14" s="168">
        <v>37.448680351906155</v>
      </c>
      <c r="G14" s="168">
        <v>13.049853372434018</v>
      </c>
      <c r="H14" s="168">
        <v>8.0351906158357771</v>
      </c>
      <c r="I14" s="168">
        <v>47.653958944281527</v>
      </c>
      <c r="J14" s="168">
        <v>8.5630498533724335</v>
      </c>
      <c r="K14" s="168">
        <v>10.615835777126099</v>
      </c>
      <c r="L14" s="168">
        <v>13.167155425219942</v>
      </c>
      <c r="M14" s="168">
        <v>20</v>
      </c>
    </row>
    <row r="15" spans="2:31" x14ac:dyDescent="0.2">
      <c r="B15" s="189" t="s">
        <v>186</v>
      </c>
      <c r="C15" s="170">
        <v>2110</v>
      </c>
      <c r="D15" s="168">
        <v>18.90995260663507</v>
      </c>
      <c r="E15" s="168">
        <v>26.445497630331754</v>
      </c>
      <c r="F15" s="168">
        <v>38.530805687203788</v>
      </c>
      <c r="G15" s="168">
        <v>11.516587677725118</v>
      </c>
      <c r="H15" s="168">
        <v>4.5971563981042651</v>
      </c>
      <c r="I15" s="168">
        <v>48.767772511848342</v>
      </c>
      <c r="J15" s="168">
        <v>9.7630331753554511</v>
      </c>
      <c r="K15" s="168">
        <v>10.900473933649289</v>
      </c>
      <c r="L15" s="168">
        <v>16.113744075829384</v>
      </c>
      <c r="M15" s="168">
        <v>14.454976303317535</v>
      </c>
    </row>
    <row r="16" spans="2:31" x14ac:dyDescent="0.2">
      <c r="B16" s="189" t="s">
        <v>187</v>
      </c>
      <c r="C16" s="170">
        <v>4290</v>
      </c>
      <c r="D16" s="168">
        <v>19.86013986013986</v>
      </c>
      <c r="E16" s="168">
        <v>28.344988344988344</v>
      </c>
      <c r="F16" s="168">
        <v>38.251748251748253</v>
      </c>
      <c r="G16" s="168">
        <v>10.34965034965035</v>
      </c>
      <c r="H16" s="168">
        <v>3.1934731934731935</v>
      </c>
      <c r="I16" s="168">
        <v>54.778554778554778</v>
      </c>
      <c r="J16" s="168">
        <v>9.58041958041958</v>
      </c>
      <c r="K16" s="168">
        <v>9.5571095571095572</v>
      </c>
      <c r="L16" s="168">
        <v>13.030303030303031</v>
      </c>
      <c r="M16" s="168">
        <v>13.053613053613054</v>
      </c>
    </row>
    <row r="17" spans="2:13" x14ac:dyDescent="0.2">
      <c r="B17" s="189" t="s">
        <v>188</v>
      </c>
      <c r="C17" s="170">
        <v>5350</v>
      </c>
      <c r="D17" s="168">
        <v>20.261682242990656</v>
      </c>
      <c r="E17" s="168">
        <v>27.196261682242991</v>
      </c>
      <c r="F17" s="168">
        <v>38.168224299065422</v>
      </c>
      <c r="G17" s="168">
        <v>10.093457943925234</v>
      </c>
      <c r="H17" s="168">
        <v>4.2803738317757007</v>
      </c>
      <c r="I17" s="168">
        <v>56.205607476635514</v>
      </c>
      <c r="J17" s="168">
        <v>9.7570093457943923</v>
      </c>
      <c r="K17" s="168">
        <v>9.4953271028037385</v>
      </c>
      <c r="L17" s="168">
        <v>12.560747663551401</v>
      </c>
      <c r="M17" s="168">
        <v>11.981308411214954</v>
      </c>
    </row>
    <row r="18" spans="2:13" x14ac:dyDescent="0.2">
      <c r="B18" s="189" t="s">
        <v>189</v>
      </c>
      <c r="C18" s="170">
        <v>2220</v>
      </c>
      <c r="D18" s="168">
        <v>16.891891891891891</v>
      </c>
      <c r="E18" s="168">
        <v>24.54954954954955</v>
      </c>
      <c r="F18" s="168">
        <v>41.441441441441441</v>
      </c>
      <c r="G18" s="168">
        <v>11.576576576576576</v>
      </c>
      <c r="H18" s="168">
        <v>5.5405405405405403</v>
      </c>
      <c r="I18" s="168">
        <v>50.450450450450454</v>
      </c>
      <c r="J18" s="168">
        <v>9.4144144144144146</v>
      </c>
      <c r="K18" s="168">
        <v>9.954954954954955</v>
      </c>
      <c r="L18" s="168">
        <v>12.882882882882884</v>
      </c>
      <c r="M18" s="168">
        <v>17.297297297297298</v>
      </c>
    </row>
    <row r="19" spans="2:13" x14ac:dyDescent="0.2">
      <c r="B19" s="188" t="s">
        <v>190</v>
      </c>
      <c r="C19" s="169">
        <v>76803</v>
      </c>
      <c r="D19" s="167">
        <v>18.397718839107846</v>
      </c>
      <c r="E19" s="167">
        <v>24.083694647344505</v>
      </c>
      <c r="F19" s="167">
        <v>37.893051052693252</v>
      </c>
      <c r="G19" s="167">
        <v>12.638829212400557</v>
      </c>
      <c r="H19" s="167">
        <v>6.986706248453836</v>
      </c>
      <c r="I19" s="167">
        <v>53.646341939767979</v>
      </c>
      <c r="J19" s="167">
        <v>9.0881866593752854</v>
      </c>
      <c r="K19" s="167">
        <v>9.6949337916487632</v>
      </c>
      <c r="L19" s="167">
        <v>12.80548936890486</v>
      </c>
      <c r="M19" s="167">
        <v>14.765048240303113</v>
      </c>
    </row>
    <row r="20" spans="2:13" x14ac:dyDescent="0.2">
      <c r="B20" s="189" t="s">
        <v>191</v>
      </c>
      <c r="C20" s="170">
        <v>11216</v>
      </c>
      <c r="D20" s="168">
        <v>18.429029957203994</v>
      </c>
      <c r="E20" s="168">
        <v>22.289586305278174</v>
      </c>
      <c r="F20" s="168">
        <v>37.598074179743222</v>
      </c>
      <c r="G20" s="168">
        <v>13.034950071326676</v>
      </c>
      <c r="H20" s="168">
        <v>8.6483594864479318</v>
      </c>
      <c r="I20" s="168">
        <v>52.01497860199715</v>
      </c>
      <c r="J20" s="168">
        <v>9.8787446504992875</v>
      </c>
      <c r="K20" s="168">
        <v>10.859486447931527</v>
      </c>
      <c r="L20" s="168">
        <v>12.722895863052782</v>
      </c>
      <c r="M20" s="168">
        <v>14.523894436519258</v>
      </c>
    </row>
    <row r="21" spans="2:13" x14ac:dyDescent="0.2">
      <c r="B21" s="189" t="s">
        <v>192</v>
      </c>
      <c r="C21" s="170">
        <v>887</v>
      </c>
      <c r="D21" s="168">
        <v>14.430665163472378</v>
      </c>
      <c r="E21" s="168">
        <v>18.151071025930101</v>
      </c>
      <c r="F21" s="168">
        <v>36.978579481397972</v>
      </c>
      <c r="G21" s="168">
        <v>18.602029312288614</v>
      </c>
      <c r="H21" s="168">
        <v>11.837655016910936</v>
      </c>
      <c r="I21" s="168">
        <v>45.546786922209698</v>
      </c>
      <c r="J21" s="168">
        <v>9.1319052987598646</v>
      </c>
      <c r="K21" s="168">
        <v>9.8083427282976317</v>
      </c>
      <c r="L21" s="168">
        <v>14.430665163472378</v>
      </c>
      <c r="M21" s="168">
        <v>21.082299887260429</v>
      </c>
    </row>
    <row r="22" spans="2:13" x14ac:dyDescent="0.2">
      <c r="B22" s="189" t="s">
        <v>193</v>
      </c>
      <c r="C22" s="170">
        <v>1435</v>
      </c>
      <c r="D22" s="168">
        <v>14.425087108013937</v>
      </c>
      <c r="E22" s="168">
        <v>19.651567944250871</v>
      </c>
      <c r="F22" s="168">
        <v>35.261324041811847</v>
      </c>
      <c r="G22" s="168">
        <v>16.236933797909408</v>
      </c>
      <c r="H22" s="168">
        <v>14.425087108013937</v>
      </c>
      <c r="I22" s="168">
        <v>40.836236933797906</v>
      </c>
      <c r="J22" s="168">
        <v>8.2229965156794425</v>
      </c>
      <c r="K22" s="168">
        <v>9.1289198606271782</v>
      </c>
      <c r="L22" s="168">
        <v>13.588850174216027</v>
      </c>
      <c r="M22" s="168">
        <v>28.222996515679444</v>
      </c>
    </row>
    <row r="23" spans="2:13" x14ac:dyDescent="0.2">
      <c r="B23" s="189" t="s">
        <v>539</v>
      </c>
      <c r="C23" s="170">
        <v>1561</v>
      </c>
      <c r="D23" s="168">
        <v>14.926329276105061</v>
      </c>
      <c r="E23" s="168">
        <v>20.435618193465729</v>
      </c>
      <c r="F23" s="168">
        <v>40.294682895579754</v>
      </c>
      <c r="G23" s="168">
        <v>15.695067264573991</v>
      </c>
      <c r="H23" s="168">
        <v>8.6483023702754647</v>
      </c>
      <c r="I23" s="168">
        <v>50.864830237027547</v>
      </c>
      <c r="J23" s="168">
        <v>9.2889173606662396</v>
      </c>
      <c r="K23" s="168">
        <v>9.6732863549007053</v>
      </c>
      <c r="L23" s="168">
        <v>13.516976297245355</v>
      </c>
      <c r="M23" s="168">
        <v>16.655989750160153</v>
      </c>
    </row>
    <row r="24" spans="2:13" x14ac:dyDescent="0.2">
      <c r="B24" s="189" t="s">
        <v>194</v>
      </c>
      <c r="C24" s="170">
        <v>2458</v>
      </c>
      <c r="D24" s="168">
        <v>17.371847030105776</v>
      </c>
      <c r="E24" s="168">
        <v>23.311635475996745</v>
      </c>
      <c r="F24" s="168">
        <v>38.89340927583401</v>
      </c>
      <c r="G24" s="168">
        <v>13.791700569568755</v>
      </c>
      <c r="H24" s="168">
        <v>6.6314076484947115</v>
      </c>
      <c r="I24" s="168">
        <v>49.959316517493896</v>
      </c>
      <c r="J24" s="168">
        <v>8.868999186330349</v>
      </c>
      <c r="K24" s="168">
        <v>9.6013018714401959</v>
      </c>
      <c r="L24" s="168">
        <v>14.84947111472742</v>
      </c>
      <c r="M24" s="168">
        <v>16.720911310008137</v>
      </c>
    </row>
    <row r="25" spans="2:13" x14ac:dyDescent="0.2">
      <c r="B25" s="189" t="s">
        <v>195</v>
      </c>
      <c r="C25" s="170">
        <v>1857</v>
      </c>
      <c r="D25" s="168">
        <v>16.693591814754981</v>
      </c>
      <c r="E25" s="168">
        <v>17.178244480344642</v>
      </c>
      <c r="F25" s="168">
        <v>35.164243403338716</v>
      </c>
      <c r="G25" s="168">
        <v>15.939687668282176</v>
      </c>
      <c r="H25" s="168">
        <v>15.024232633279484</v>
      </c>
      <c r="I25" s="168">
        <v>43.080236941303177</v>
      </c>
      <c r="J25" s="168">
        <v>9.3699515347334419</v>
      </c>
      <c r="K25" s="168">
        <v>10.554658050619278</v>
      </c>
      <c r="L25" s="168">
        <v>14.754981152396338</v>
      </c>
      <c r="M25" s="168">
        <v>22.240172320947764</v>
      </c>
    </row>
    <row r="26" spans="2:13" x14ac:dyDescent="0.2">
      <c r="B26" s="189" t="s">
        <v>196</v>
      </c>
      <c r="C26" s="170">
        <v>3055</v>
      </c>
      <c r="D26" s="168">
        <v>17.217675941080195</v>
      </c>
      <c r="E26" s="168">
        <v>25.990180032733225</v>
      </c>
      <c r="F26" s="168">
        <v>40.556464811783961</v>
      </c>
      <c r="G26" s="168">
        <v>11.620294599018003</v>
      </c>
      <c r="H26" s="168">
        <v>4.615384615384615</v>
      </c>
      <c r="I26" s="168">
        <v>52.176759410801964</v>
      </c>
      <c r="J26" s="168">
        <v>10.310965630114566</v>
      </c>
      <c r="K26" s="168">
        <v>9.9181669394435357</v>
      </c>
      <c r="L26" s="168">
        <v>13.911620294599018</v>
      </c>
      <c r="M26" s="168">
        <v>13.682487725040916</v>
      </c>
    </row>
    <row r="27" spans="2:13" x14ac:dyDescent="0.2">
      <c r="B27" s="189" t="s">
        <v>197</v>
      </c>
      <c r="C27" s="170">
        <v>517</v>
      </c>
      <c r="D27" s="168">
        <v>22.243713733075435</v>
      </c>
      <c r="E27" s="168">
        <v>14.893617021276595</v>
      </c>
      <c r="F27" s="168">
        <v>39.458413926499034</v>
      </c>
      <c r="G27" s="168">
        <v>14.313346228239846</v>
      </c>
      <c r="H27" s="168">
        <v>9.0909090909090917</v>
      </c>
      <c r="I27" s="168">
        <v>51.644100580270795</v>
      </c>
      <c r="J27" s="168">
        <v>7.5435203094777563</v>
      </c>
      <c r="K27" s="168">
        <v>9.4777562862669242</v>
      </c>
      <c r="L27" s="168">
        <v>15.087040618955513</v>
      </c>
      <c r="M27" s="168">
        <v>16.247582205029012</v>
      </c>
    </row>
    <row r="28" spans="2:13" x14ac:dyDescent="0.2">
      <c r="B28" s="189" t="s">
        <v>198</v>
      </c>
      <c r="C28" s="170">
        <v>2763</v>
      </c>
      <c r="D28" s="168">
        <v>17.227651103872603</v>
      </c>
      <c r="E28" s="168">
        <v>25.226203402099166</v>
      </c>
      <c r="F28" s="168">
        <v>39.667028592110029</v>
      </c>
      <c r="G28" s="168">
        <v>12.920738327904452</v>
      </c>
      <c r="H28" s="168">
        <v>4.9583785740137536</v>
      </c>
      <c r="I28" s="168">
        <v>53.854505971769818</v>
      </c>
      <c r="J28" s="168">
        <v>8.9395584509591028</v>
      </c>
      <c r="K28" s="168">
        <v>9.7719869706840399</v>
      </c>
      <c r="L28" s="168">
        <v>13.97032211364459</v>
      </c>
      <c r="M28" s="168">
        <v>13.463626492942455</v>
      </c>
    </row>
    <row r="29" spans="2:13" x14ac:dyDescent="0.2">
      <c r="B29" s="189" t="s">
        <v>199</v>
      </c>
      <c r="C29" s="170">
        <v>1024</v>
      </c>
      <c r="D29" s="168">
        <v>16.796875</v>
      </c>
      <c r="E29" s="168">
        <v>19.7265625</v>
      </c>
      <c r="F29" s="168">
        <v>37.79296875</v>
      </c>
      <c r="G29" s="168">
        <v>17.48046875</v>
      </c>
      <c r="H29" s="168">
        <v>8.203125</v>
      </c>
      <c r="I29" s="168">
        <v>51.953125</v>
      </c>
      <c r="J29" s="168">
        <v>6.8359375</v>
      </c>
      <c r="K29" s="168">
        <v>9.86328125</v>
      </c>
      <c r="L29" s="168">
        <v>14.55078125</v>
      </c>
      <c r="M29" s="168">
        <v>16.796875</v>
      </c>
    </row>
    <row r="30" spans="2:13" x14ac:dyDescent="0.2">
      <c r="B30" s="189" t="s">
        <v>200</v>
      </c>
      <c r="C30" s="170">
        <v>906</v>
      </c>
      <c r="D30" s="168">
        <v>19.094922737306842</v>
      </c>
      <c r="E30" s="168">
        <v>23.620309050772626</v>
      </c>
      <c r="F30" s="168">
        <v>36.203090507726266</v>
      </c>
      <c r="G30" s="168">
        <v>15.562913907284768</v>
      </c>
      <c r="H30" s="168">
        <v>5.518763796909492</v>
      </c>
      <c r="I30" s="168">
        <v>50.88300220750552</v>
      </c>
      <c r="J30" s="168">
        <v>7.6158940397350996</v>
      </c>
      <c r="K30" s="168">
        <v>11.368653421633555</v>
      </c>
      <c r="L30" s="168">
        <v>16.556291390728475</v>
      </c>
      <c r="M30" s="168">
        <v>13.576158940397351</v>
      </c>
    </row>
    <row r="31" spans="2:13" x14ac:dyDescent="0.2">
      <c r="B31" s="189" t="s">
        <v>201</v>
      </c>
      <c r="C31" s="170">
        <v>1075</v>
      </c>
      <c r="D31" s="168">
        <v>16.930232558139537</v>
      </c>
      <c r="E31" s="168">
        <v>24.837209302325583</v>
      </c>
      <c r="F31" s="168">
        <v>38.697674418604649</v>
      </c>
      <c r="G31" s="168">
        <v>12.279069767441861</v>
      </c>
      <c r="H31" s="168">
        <v>7.2558139534883717</v>
      </c>
      <c r="I31" s="168">
        <v>57.860465116279073</v>
      </c>
      <c r="J31" s="168">
        <v>7.6279069767441863</v>
      </c>
      <c r="K31" s="168">
        <v>8.3720930232558146</v>
      </c>
      <c r="L31" s="168">
        <v>11.534883720930232</v>
      </c>
      <c r="M31" s="168">
        <v>14.604651162790697</v>
      </c>
    </row>
    <row r="32" spans="2:13" x14ac:dyDescent="0.2">
      <c r="B32" s="189" t="s">
        <v>202</v>
      </c>
      <c r="C32" s="170">
        <v>2685</v>
      </c>
      <c r="D32" s="168">
        <v>18.175046554934823</v>
      </c>
      <c r="E32" s="168">
        <v>28.640595903165735</v>
      </c>
      <c r="F32" s="168">
        <v>35.865921787709496</v>
      </c>
      <c r="G32" s="168">
        <v>11.471135940409683</v>
      </c>
      <c r="H32" s="168">
        <v>5.8472998137802605</v>
      </c>
      <c r="I32" s="168">
        <v>58.286778398510243</v>
      </c>
      <c r="J32" s="168">
        <v>9.7579143389199263</v>
      </c>
      <c r="K32" s="168">
        <v>8.8268156424581008</v>
      </c>
      <c r="L32" s="168">
        <v>12.104283054003725</v>
      </c>
      <c r="M32" s="168">
        <v>11.024208566108008</v>
      </c>
    </row>
    <row r="33" spans="2:13" x14ac:dyDescent="0.2">
      <c r="B33" s="189" t="s">
        <v>203</v>
      </c>
      <c r="C33" s="170">
        <v>4642</v>
      </c>
      <c r="D33" s="168">
        <v>20.745368375700128</v>
      </c>
      <c r="E33" s="168">
        <v>31.451960361912967</v>
      </c>
      <c r="F33" s="168">
        <v>38.60404997845756</v>
      </c>
      <c r="G33" s="168">
        <v>7.2167169323567428</v>
      </c>
      <c r="H33" s="168">
        <v>1.981904351572598</v>
      </c>
      <c r="I33" s="168">
        <v>66.286083584661782</v>
      </c>
      <c r="J33" s="168">
        <v>8.6385178802240414</v>
      </c>
      <c r="K33" s="168">
        <v>8.8754847048685903</v>
      </c>
      <c r="L33" s="168">
        <v>8.9831968978888419</v>
      </c>
      <c r="M33" s="168">
        <v>7.2167169323567428</v>
      </c>
    </row>
    <row r="34" spans="2:13" x14ac:dyDescent="0.2">
      <c r="B34" s="189" t="s">
        <v>204</v>
      </c>
      <c r="C34" s="170">
        <v>2048</v>
      </c>
      <c r="D34" s="168">
        <v>15.625</v>
      </c>
      <c r="E34" s="168">
        <v>22.021484375</v>
      </c>
      <c r="F34" s="168">
        <v>38.8671875</v>
      </c>
      <c r="G34" s="168">
        <v>15.625</v>
      </c>
      <c r="H34" s="168">
        <v>7.861328125</v>
      </c>
      <c r="I34" s="168">
        <v>49.31640625</v>
      </c>
      <c r="J34" s="168">
        <v>9.66796875</v>
      </c>
      <c r="K34" s="168">
        <v>10.7421875</v>
      </c>
      <c r="L34" s="168">
        <v>13.525390625</v>
      </c>
      <c r="M34" s="168">
        <v>16.748046875</v>
      </c>
    </row>
    <row r="35" spans="2:13" x14ac:dyDescent="0.2">
      <c r="B35" s="189" t="s">
        <v>205</v>
      </c>
      <c r="C35" s="170">
        <v>2297</v>
      </c>
      <c r="D35" s="168">
        <v>19.15542011319112</v>
      </c>
      <c r="E35" s="168">
        <v>21.28863735306922</v>
      </c>
      <c r="F35" s="168">
        <v>33.130169786678273</v>
      </c>
      <c r="G35" s="168">
        <v>15.193730953417502</v>
      </c>
      <c r="H35" s="168">
        <v>11.232041793643884</v>
      </c>
      <c r="I35" s="168">
        <v>47.235524597300824</v>
      </c>
      <c r="J35" s="168">
        <v>7.2268175881584673</v>
      </c>
      <c r="K35" s="168">
        <v>7.6621680452764478</v>
      </c>
      <c r="L35" s="168">
        <v>14.758380496299521</v>
      </c>
      <c r="M35" s="168">
        <v>23.117109272964736</v>
      </c>
    </row>
    <row r="36" spans="2:13" x14ac:dyDescent="0.2">
      <c r="B36" s="189" t="s">
        <v>206</v>
      </c>
      <c r="C36" s="170">
        <v>4742</v>
      </c>
      <c r="D36" s="168">
        <v>18.578658793757906</v>
      </c>
      <c r="E36" s="168">
        <v>22.522142555883594</v>
      </c>
      <c r="F36" s="168">
        <v>37.199493884436947</v>
      </c>
      <c r="G36" s="168">
        <v>14.192323913960355</v>
      </c>
      <c r="H36" s="168">
        <v>7.507380851961198</v>
      </c>
      <c r="I36" s="168">
        <v>49.261914803880217</v>
      </c>
      <c r="J36" s="168">
        <v>8.9835512442007595</v>
      </c>
      <c r="K36" s="168">
        <v>9.9536060733867568</v>
      </c>
      <c r="L36" s="168">
        <v>14.107971320118093</v>
      </c>
      <c r="M36" s="168">
        <v>17.692956558414171</v>
      </c>
    </row>
    <row r="37" spans="2:13" x14ac:dyDescent="0.2">
      <c r="B37" s="189" t="s">
        <v>207</v>
      </c>
      <c r="C37" s="170">
        <v>1084</v>
      </c>
      <c r="D37" s="168">
        <v>20.018450184501845</v>
      </c>
      <c r="E37" s="168">
        <v>18.173431734317344</v>
      </c>
      <c r="F37" s="168">
        <v>34.778597785977858</v>
      </c>
      <c r="G37" s="168">
        <v>14.298892988929889</v>
      </c>
      <c r="H37" s="168">
        <v>12.730627306273062</v>
      </c>
      <c r="I37" s="168">
        <v>47.32472324723247</v>
      </c>
      <c r="J37" s="168">
        <v>8.3025830258302591</v>
      </c>
      <c r="K37" s="168">
        <v>8.1180811808118083</v>
      </c>
      <c r="L37" s="168">
        <v>14.575645756457565</v>
      </c>
      <c r="M37" s="168">
        <v>21.678966789667896</v>
      </c>
    </row>
    <row r="38" spans="2:13" x14ac:dyDescent="0.2">
      <c r="B38" s="189" t="s">
        <v>208</v>
      </c>
      <c r="C38" s="170">
        <v>5646</v>
      </c>
      <c r="D38" s="168">
        <v>20.91746369110875</v>
      </c>
      <c r="E38" s="168">
        <v>28.940843074743182</v>
      </c>
      <c r="F38" s="168">
        <v>38.841657810839536</v>
      </c>
      <c r="G38" s="168">
        <v>8.8735387885228487</v>
      </c>
      <c r="H38" s="168">
        <v>2.4264966347856891</v>
      </c>
      <c r="I38" s="168">
        <v>69.004605030109815</v>
      </c>
      <c r="J38" s="168">
        <v>7.8462628409493442</v>
      </c>
      <c r="K38" s="168">
        <v>7.7399929153382923</v>
      </c>
      <c r="L38" s="168">
        <v>8.2536308891250449</v>
      </c>
      <c r="M38" s="168">
        <v>7.1555083244775064</v>
      </c>
    </row>
    <row r="39" spans="2:13" x14ac:dyDescent="0.2">
      <c r="B39" s="189" t="s">
        <v>540</v>
      </c>
      <c r="C39" s="170">
        <v>1055</v>
      </c>
      <c r="D39" s="168">
        <v>17.156398104265403</v>
      </c>
      <c r="E39" s="168">
        <v>26.824644549763033</v>
      </c>
      <c r="F39" s="168">
        <v>37.81990521327014</v>
      </c>
      <c r="G39" s="168">
        <v>12.037914691943127</v>
      </c>
      <c r="H39" s="168">
        <v>6.1611374407582939</v>
      </c>
      <c r="I39" s="168">
        <v>56.018957345971565</v>
      </c>
      <c r="J39" s="168">
        <v>9.7630331753554511</v>
      </c>
      <c r="K39" s="168">
        <v>9.0047393364928912</v>
      </c>
      <c r="L39" s="168">
        <v>11.753554502369669</v>
      </c>
      <c r="M39" s="168">
        <v>13.459715639810426</v>
      </c>
    </row>
    <row r="40" spans="2:13" x14ac:dyDescent="0.2">
      <c r="B40" s="189" t="s">
        <v>209</v>
      </c>
      <c r="C40" s="170">
        <v>1651</v>
      </c>
      <c r="D40" s="168">
        <v>23.076923076923077</v>
      </c>
      <c r="E40" s="168">
        <v>27.86190187764991</v>
      </c>
      <c r="F40" s="168">
        <v>34.342822531798909</v>
      </c>
      <c r="G40" s="168">
        <v>10.96305269533616</v>
      </c>
      <c r="H40" s="168">
        <v>3.7552998182919444</v>
      </c>
      <c r="I40" s="168">
        <v>61.53846153846154</v>
      </c>
      <c r="J40" s="168">
        <v>8.6614173228346463</v>
      </c>
      <c r="K40" s="168">
        <v>9.4488188976377945</v>
      </c>
      <c r="L40" s="168">
        <v>11.265899454875832</v>
      </c>
      <c r="M40" s="168">
        <v>9.0854027861901869</v>
      </c>
    </row>
    <row r="41" spans="2:13" x14ac:dyDescent="0.2">
      <c r="B41" s="189" t="s">
        <v>210</v>
      </c>
      <c r="C41" s="170">
        <v>3831</v>
      </c>
      <c r="D41" s="168">
        <v>19.368311145914905</v>
      </c>
      <c r="E41" s="168">
        <v>23.753589141216391</v>
      </c>
      <c r="F41" s="168">
        <v>37.849125554685457</v>
      </c>
      <c r="G41" s="168">
        <v>13.364656747585487</v>
      </c>
      <c r="H41" s="168">
        <v>5.6643174105977554</v>
      </c>
      <c r="I41" s="168">
        <v>53.954581049334379</v>
      </c>
      <c r="J41" s="168">
        <v>8.065779169929522</v>
      </c>
      <c r="K41" s="168">
        <v>9.5014356564865565</v>
      </c>
      <c r="L41" s="168">
        <v>14.06943356825894</v>
      </c>
      <c r="M41" s="168">
        <v>14.408770555990603</v>
      </c>
    </row>
    <row r="42" spans="2:13" x14ac:dyDescent="0.2">
      <c r="B42" s="189" t="s">
        <v>211</v>
      </c>
      <c r="C42" s="170">
        <v>12004</v>
      </c>
      <c r="D42" s="168">
        <v>18.518827057647449</v>
      </c>
      <c r="E42" s="168">
        <v>25.216594468510497</v>
      </c>
      <c r="F42" s="168">
        <v>38.237254248583803</v>
      </c>
      <c r="G42" s="168">
        <v>11.454515161612795</v>
      </c>
      <c r="H42" s="168">
        <v>6.5728090636454519</v>
      </c>
      <c r="I42" s="168">
        <v>52.865711429523493</v>
      </c>
      <c r="J42" s="168">
        <v>9.8467177607464187</v>
      </c>
      <c r="K42" s="168">
        <v>9.9883372209263577</v>
      </c>
      <c r="L42" s="168">
        <v>12.637454181939354</v>
      </c>
      <c r="M42" s="168">
        <v>14.661779406864378</v>
      </c>
    </row>
    <row r="43" spans="2:13" x14ac:dyDescent="0.2">
      <c r="B43" s="189" t="s">
        <v>212</v>
      </c>
      <c r="C43" s="170">
        <v>806</v>
      </c>
      <c r="D43" s="168">
        <v>20.347394540942929</v>
      </c>
      <c r="E43" s="168">
        <v>22.8287841191067</v>
      </c>
      <c r="F43" s="168">
        <v>38.70967741935484</v>
      </c>
      <c r="G43" s="168">
        <v>10.669975186104219</v>
      </c>
      <c r="H43" s="168">
        <v>7.4441687344913152</v>
      </c>
      <c r="I43" s="168">
        <v>49.255583126550867</v>
      </c>
      <c r="J43" s="168">
        <v>11.41439205955335</v>
      </c>
      <c r="K43" s="168">
        <v>8.4367245657568244</v>
      </c>
      <c r="L43" s="168">
        <v>16.004962779156326</v>
      </c>
      <c r="M43" s="168">
        <v>14.88833746898263</v>
      </c>
    </row>
    <row r="44" spans="2:13" x14ac:dyDescent="0.2">
      <c r="B44" s="189" t="s">
        <v>213</v>
      </c>
      <c r="C44" s="170">
        <v>2341</v>
      </c>
      <c r="D44" s="168">
        <v>17.001281503630928</v>
      </c>
      <c r="E44" s="168">
        <v>22.810764630499786</v>
      </c>
      <c r="F44" s="168">
        <v>41.136266552755231</v>
      </c>
      <c r="G44" s="168">
        <v>13.071337035454933</v>
      </c>
      <c r="H44" s="168">
        <v>5.9803502776591202</v>
      </c>
      <c r="I44" s="168">
        <v>51.473729175566</v>
      </c>
      <c r="J44" s="168">
        <v>9.8675779581375487</v>
      </c>
      <c r="K44" s="168">
        <v>10.123878684322939</v>
      </c>
      <c r="L44" s="168">
        <v>13.413071337035454</v>
      </c>
      <c r="M44" s="168">
        <v>15.12174284493806</v>
      </c>
    </row>
    <row r="45" spans="2:13" x14ac:dyDescent="0.2">
      <c r="B45" s="189" t="s">
        <v>214</v>
      </c>
      <c r="C45" s="170">
        <v>3217</v>
      </c>
      <c r="D45" s="168">
        <v>16.630400994715572</v>
      </c>
      <c r="E45" s="168">
        <v>19.45912340690084</v>
      </c>
      <c r="F45" s="168">
        <v>37.830276655268882</v>
      </c>
      <c r="G45" s="168">
        <v>15.573515697855145</v>
      </c>
      <c r="H45" s="168">
        <v>10.506683245259559</v>
      </c>
      <c r="I45" s="168">
        <v>46.254274168479952</v>
      </c>
      <c r="J45" s="168">
        <v>8.3307429281939687</v>
      </c>
      <c r="K45" s="168">
        <v>10.879701585327945</v>
      </c>
      <c r="L45" s="168">
        <v>14.392290954305253</v>
      </c>
      <c r="M45" s="168">
        <v>20.142990363692881</v>
      </c>
    </row>
    <row r="46" spans="2:13" x14ac:dyDescent="0.2">
      <c r="B46" s="188" t="s">
        <v>215</v>
      </c>
      <c r="C46" s="169">
        <v>40604</v>
      </c>
      <c r="D46" s="167">
        <v>18.446458476997339</v>
      </c>
      <c r="E46" s="167">
        <v>25.645256624963057</v>
      </c>
      <c r="F46" s="167">
        <v>37.331297409122257</v>
      </c>
      <c r="G46" s="167">
        <v>12.097330312284504</v>
      </c>
      <c r="H46" s="167">
        <v>6.4796571766328439</v>
      </c>
      <c r="I46" s="167">
        <v>54.176928381440256</v>
      </c>
      <c r="J46" s="167">
        <v>8.9276918530194074</v>
      </c>
      <c r="K46" s="167">
        <v>9.0656092995763959</v>
      </c>
      <c r="L46" s="167">
        <v>12.846025022165303</v>
      </c>
      <c r="M46" s="167">
        <v>14.983745443798641</v>
      </c>
    </row>
    <row r="47" spans="2:13" x14ac:dyDescent="0.2">
      <c r="B47" s="189" t="s">
        <v>541</v>
      </c>
      <c r="C47" s="170">
        <v>995</v>
      </c>
      <c r="D47" s="168">
        <v>17.989949748743719</v>
      </c>
      <c r="E47" s="168">
        <v>17.487437185929647</v>
      </c>
      <c r="F47" s="168">
        <v>32.763819095477388</v>
      </c>
      <c r="G47" s="168">
        <v>18.391959798994975</v>
      </c>
      <c r="H47" s="168">
        <v>13.366834170854272</v>
      </c>
      <c r="I47" s="168">
        <v>47.537688442211056</v>
      </c>
      <c r="J47" s="168">
        <v>8.8442211055276374</v>
      </c>
      <c r="K47" s="168">
        <v>8.6432160804020093</v>
      </c>
      <c r="L47" s="168">
        <v>13.366834170854272</v>
      </c>
      <c r="M47" s="168">
        <v>21.608040201005025</v>
      </c>
    </row>
    <row r="48" spans="2:13" x14ac:dyDescent="0.2">
      <c r="B48" s="189" t="s">
        <v>216</v>
      </c>
      <c r="C48" s="170">
        <v>2554</v>
      </c>
      <c r="D48" s="168">
        <v>17.423649177760375</v>
      </c>
      <c r="E48" s="168">
        <v>21.848081440877056</v>
      </c>
      <c r="F48" s="168">
        <v>38.410336726703214</v>
      </c>
      <c r="G48" s="168">
        <v>14.252153484729835</v>
      </c>
      <c r="H48" s="168">
        <v>8.065779169929522</v>
      </c>
      <c r="I48" s="168">
        <v>51.879404855129209</v>
      </c>
      <c r="J48" s="168">
        <v>10.571652310101801</v>
      </c>
      <c r="K48" s="168">
        <v>8.4181675802662497</v>
      </c>
      <c r="L48" s="168">
        <v>11.863743148003133</v>
      </c>
      <c r="M48" s="168">
        <v>17.26703210649961</v>
      </c>
    </row>
    <row r="49" spans="2:13" x14ac:dyDescent="0.2">
      <c r="B49" s="189" t="s">
        <v>542</v>
      </c>
      <c r="C49" s="170">
        <v>3826</v>
      </c>
      <c r="D49" s="168">
        <v>18.661787767903817</v>
      </c>
      <c r="E49" s="168">
        <v>28.384736016727654</v>
      </c>
      <c r="F49" s="168">
        <v>38.133821223209615</v>
      </c>
      <c r="G49" s="168">
        <v>10.062728698379509</v>
      </c>
      <c r="H49" s="168">
        <v>4.7569262937794043</v>
      </c>
      <c r="I49" s="168">
        <v>57.710402509147933</v>
      </c>
      <c r="J49" s="168">
        <v>10.115002613695767</v>
      </c>
      <c r="K49" s="168">
        <v>9.1740721380031367</v>
      </c>
      <c r="L49" s="168">
        <v>12.075274438055411</v>
      </c>
      <c r="M49" s="168">
        <v>10.925248301097753</v>
      </c>
    </row>
    <row r="50" spans="2:13" x14ac:dyDescent="0.2">
      <c r="B50" s="189" t="s">
        <v>217</v>
      </c>
      <c r="C50" s="170">
        <v>528</v>
      </c>
      <c r="D50" s="168">
        <v>14.393939393939394</v>
      </c>
      <c r="E50" s="168">
        <v>26.515151515151516</v>
      </c>
      <c r="F50" s="168">
        <v>37.878787878787875</v>
      </c>
      <c r="G50" s="168">
        <v>15.151515151515152</v>
      </c>
      <c r="H50" s="168">
        <v>6.0606060606060606</v>
      </c>
      <c r="I50" s="168">
        <v>56.25</v>
      </c>
      <c r="J50" s="168">
        <v>8.9015151515151523</v>
      </c>
      <c r="K50" s="168">
        <v>10.795454545454545</v>
      </c>
      <c r="L50" s="168">
        <v>12.310606060606061</v>
      </c>
      <c r="M50" s="168">
        <v>11.742424242424242</v>
      </c>
    </row>
    <row r="51" spans="2:13" x14ac:dyDescent="0.2">
      <c r="B51" s="189" t="s">
        <v>218</v>
      </c>
      <c r="C51" s="170">
        <v>2057</v>
      </c>
      <c r="D51" s="168">
        <v>17.890131259115215</v>
      </c>
      <c r="E51" s="168">
        <v>28.536703937773456</v>
      </c>
      <c r="F51" s="168">
        <v>41.516771998055418</v>
      </c>
      <c r="G51" s="168">
        <v>8.7506076810889653</v>
      </c>
      <c r="H51" s="168">
        <v>3.3057851239669422</v>
      </c>
      <c r="I51" s="168">
        <v>59.455517744287796</v>
      </c>
      <c r="J51" s="168">
        <v>9.4312105007292182</v>
      </c>
      <c r="K51" s="168">
        <v>8.5561497326203213</v>
      </c>
      <c r="L51" s="168">
        <v>10.695187165775401</v>
      </c>
      <c r="M51" s="168">
        <v>11.861934856587263</v>
      </c>
    </row>
    <row r="52" spans="2:13" x14ac:dyDescent="0.2">
      <c r="B52" s="189" t="s">
        <v>219</v>
      </c>
      <c r="C52" s="170">
        <v>501</v>
      </c>
      <c r="D52" s="168">
        <v>14.37125748502994</v>
      </c>
      <c r="E52" s="168">
        <v>23.15369261477046</v>
      </c>
      <c r="F52" s="168">
        <v>36.926147704590818</v>
      </c>
      <c r="G52" s="168">
        <v>18.562874251497007</v>
      </c>
      <c r="H52" s="168">
        <v>6.9860279441117763</v>
      </c>
      <c r="I52" s="168">
        <v>51.696606786427147</v>
      </c>
      <c r="J52" s="168">
        <v>6.1876247504990021</v>
      </c>
      <c r="K52" s="168">
        <v>9.9800399201596814</v>
      </c>
      <c r="L52" s="168">
        <v>16.766467065868262</v>
      </c>
      <c r="M52" s="168">
        <v>15.369261477045908</v>
      </c>
    </row>
    <row r="53" spans="2:13" x14ac:dyDescent="0.2">
      <c r="B53" s="189" t="s">
        <v>513</v>
      </c>
      <c r="C53" s="170">
        <v>898</v>
      </c>
      <c r="D53" s="168">
        <v>19.487750556792871</v>
      </c>
      <c r="E53" s="168">
        <v>26.948775055679288</v>
      </c>
      <c r="F53" s="168">
        <v>36.302895322939868</v>
      </c>
      <c r="G53" s="168">
        <v>12.694877505567929</v>
      </c>
      <c r="H53" s="168">
        <v>4.5657015590200443</v>
      </c>
      <c r="I53" s="168">
        <v>56.570155902004451</v>
      </c>
      <c r="J53" s="168">
        <v>8.2405345211581285</v>
      </c>
      <c r="K53" s="168">
        <v>8.908685968819599</v>
      </c>
      <c r="L53" s="168">
        <v>12.249443207126948</v>
      </c>
      <c r="M53" s="168">
        <v>14.031180400890868</v>
      </c>
    </row>
    <row r="54" spans="2:13" x14ac:dyDescent="0.2">
      <c r="B54" s="189" t="s">
        <v>221</v>
      </c>
      <c r="C54" s="170">
        <v>1301</v>
      </c>
      <c r="D54" s="168">
        <v>16.52574942352037</v>
      </c>
      <c r="E54" s="168">
        <v>26.441199077632589</v>
      </c>
      <c r="F54" s="168">
        <v>36.740968485780172</v>
      </c>
      <c r="G54" s="168">
        <v>13.220599538816295</v>
      </c>
      <c r="H54" s="168">
        <v>7.0714834742505763</v>
      </c>
      <c r="I54" s="168">
        <v>49.65411222136818</v>
      </c>
      <c r="J54" s="168">
        <v>7.609531129900077</v>
      </c>
      <c r="K54" s="168">
        <v>9.6079938508839362</v>
      </c>
      <c r="L54" s="168">
        <v>15.295926210607226</v>
      </c>
      <c r="M54" s="168">
        <v>17.832436587240583</v>
      </c>
    </row>
    <row r="55" spans="2:13" x14ac:dyDescent="0.2">
      <c r="B55" s="189" t="s">
        <v>514</v>
      </c>
      <c r="C55" s="170">
        <v>644</v>
      </c>
      <c r="D55" s="168">
        <v>21.273291925465838</v>
      </c>
      <c r="E55" s="168">
        <v>22.204968944099377</v>
      </c>
      <c r="F55" s="168">
        <v>37.111801242236027</v>
      </c>
      <c r="G55" s="168">
        <v>13.819875776397515</v>
      </c>
      <c r="H55" s="168">
        <v>5.5900621118012426</v>
      </c>
      <c r="I55" s="168">
        <v>62.422360248447205</v>
      </c>
      <c r="J55" s="168">
        <v>7.9192546583850936</v>
      </c>
      <c r="K55" s="168">
        <v>6.5217391304347823</v>
      </c>
      <c r="L55" s="168">
        <v>11.645962732919255</v>
      </c>
      <c r="M55" s="168">
        <v>11.490683229813664</v>
      </c>
    </row>
    <row r="56" spans="2:13" x14ac:dyDescent="0.2">
      <c r="B56" s="189" t="s">
        <v>223</v>
      </c>
      <c r="C56" s="170">
        <v>333</v>
      </c>
      <c r="D56" s="168">
        <v>14.114114114114114</v>
      </c>
      <c r="E56" s="168">
        <v>17.717717717717719</v>
      </c>
      <c r="F56" s="168">
        <v>39.93993993993994</v>
      </c>
      <c r="G56" s="168">
        <v>16.216216216216218</v>
      </c>
      <c r="H56" s="168">
        <v>12.012012012012011</v>
      </c>
      <c r="I56" s="168">
        <v>49.249249249249246</v>
      </c>
      <c r="J56" s="168">
        <v>9.9099099099099099</v>
      </c>
      <c r="K56" s="168">
        <v>9.6096096096096097</v>
      </c>
      <c r="L56" s="168">
        <v>13.513513513513514</v>
      </c>
      <c r="M56" s="168">
        <v>17.717717717717719</v>
      </c>
    </row>
    <row r="57" spans="2:13" x14ac:dyDescent="0.2">
      <c r="B57" s="189" t="s">
        <v>224</v>
      </c>
      <c r="C57" s="170">
        <v>1031</v>
      </c>
      <c r="D57" s="168">
        <v>18.234723569350145</v>
      </c>
      <c r="E57" s="168">
        <v>19.88360814742968</v>
      </c>
      <c r="F57" s="168">
        <v>32.783705140640159</v>
      </c>
      <c r="G57" s="168">
        <v>16.973811833171677</v>
      </c>
      <c r="H57" s="168">
        <v>12.124151309408342</v>
      </c>
      <c r="I57" s="168">
        <v>48.011639185257032</v>
      </c>
      <c r="J57" s="168">
        <v>8.8263821532492717</v>
      </c>
      <c r="K57" s="168">
        <v>10.475266731328807</v>
      </c>
      <c r="L57" s="168">
        <v>16.003879728419012</v>
      </c>
      <c r="M57" s="168">
        <v>16.682832201745878</v>
      </c>
    </row>
    <row r="58" spans="2:13" x14ac:dyDescent="0.2">
      <c r="B58" s="189" t="s">
        <v>543</v>
      </c>
      <c r="C58" s="170">
        <v>1421</v>
      </c>
      <c r="D58" s="168">
        <v>20.619282195636874</v>
      </c>
      <c r="E58" s="168">
        <v>25.123152709359605</v>
      </c>
      <c r="F58" s="168">
        <v>35.960591133004925</v>
      </c>
      <c r="G58" s="168">
        <v>13.581984517945109</v>
      </c>
      <c r="H58" s="168">
        <v>4.7149894440534839</v>
      </c>
      <c r="I58" s="168">
        <v>56.790992258972551</v>
      </c>
      <c r="J58" s="168">
        <v>8.6558761435608726</v>
      </c>
      <c r="K58" s="168">
        <v>8.7262491203377905</v>
      </c>
      <c r="L58" s="168">
        <v>12.807881773399014</v>
      </c>
      <c r="M58" s="168">
        <v>13.019000703729768</v>
      </c>
    </row>
    <row r="59" spans="2:13" x14ac:dyDescent="0.2">
      <c r="B59" s="189" t="s">
        <v>225</v>
      </c>
      <c r="C59" s="170">
        <v>1096</v>
      </c>
      <c r="D59" s="168">
        <v>14.963503649635037</v>
      </c>
      <c r="E59" s="168">
        <v>18.430656934306569</v>
      </c>
      <c r="F59" s="168">
        <v>36.770072992700733</v>
      </c>
      <c r="G59" s="168">
        <v>16.423357664233578</v>
      </c>
      <c r="H59" s="168">
        <v>13.412408759124087</v>
      </c>
      <c r="I59" s="168">
        <v>43.795620437956202</v>
      </c>
      <c r="J59" s="168">
        <v>9.5802919708029197</v>
      </c>
      <c r="K59" s="168">
        <v>8.8503649635036492</v>
      </c>
      <c r="L59" s="168">
        <v>16.697080291970803</v>
      </c>
      <c r="M59" s="168">
        <v>21.076642335766422</v>
      </c>
    </row>
    <row r="60" spans="2:13" x14ac:dyDescent="0.2">
      <c r="B60" s="189" t="s">
        <v>226</v>
      </c>
      <c r="C60" s="170">
        <v>1206</v>
      </c>
      <c r="D60" s="168">
        <v>16.832504145936984</v>
      </c>
      <c r="E60" s="168">
        <v>19.320066334991708</v>
      </c>
      <c r="F60" s="168">
        <v>32.172470978441126</v>
      </c>
      <c r="G60" s="168">
        <v>14.013266998341626</v>
      </c>
      <c r="H60" s="168">
        <v>17.661691542288558</v>
      </c>
      <c r="I60" s="168">
        <v>38.557213930348261</v>
      </c>
      <c r="J60" s="168">
        <v>6.6334991708126037</v>
      </c>
      <c r="K60" s="168">
        <v>10.447761194029852</v>
      </c>
      <c r="L60" s="168">
        <v>13.184079601990049</v>
      </c>
      <c r="M60" s="168">
        <v>31.177446102819236</v>
      </c>
    </row>
    <row r="61" spans="2:13" x14ac:dyDescent="0.2">
      <c r="B61" s="189" t="s">
        <v>515</v>
      </c>
      <c r="C61" s="170">
        <v>2422</v>
      </c>
      <c r="D61" s="168">
        <v>18.662262592898433</v>
      </c>
      <c r="E61" s="168">
        <v>23.699421965317921</v>
      </c>
      <c r="F61" s="168">
        <v>37.985136251032202</v>
      </c>
      <c r="G61" s="168">
        <v>12.799339388934765</v>
      </c>
      <c r="H61" s="168">
        <v>6.8538398018166804</v>
      </c>
      <c r="I61" s="168">
        <v>56.895127993393892</v>
      </c>
      <c r="J61" s="168">
        <v>6.7712634186622624</v>
      </c>
      <c r="K61" s="168">
        <v>9.4137076796036325</v>
      </c>
      <c r="L61" s="168">
        <v>12.59289843104872</v>
      </c>
      <c r="M61" s="168">
        <v>14.327002477291495</v>
      </c>
    </row>
    <row r="62" spans="2:13" x14ac:dyDescent="0.2">
      <c r="B62" s="189" t="s">
        <v>228</v>
      </c>
      <c r="C62" s="170">
        <v>1485</v>
      </c>
      <c r="D62" s="168">
        <v>19.124579124579125</v>
      </c>
      <c r="E62" s="168">
        <v>28.148148148148149</v>
      </c>
      <c r="F62" s="168">
        <v>36.094276094276097</v>
      </c>
      <c r="G62" s="168">
        <v>11.851851851851851</v>
      </c>
      <c r="H62" s="168">
        <v>4.7811447811447811</v>
      </c>
      <c r="I62" s="168">
        <v>53.131313131313128</v>
      </c>
      <c r="J62" s="168">
        <v>9.4949494949494948</v>
      </c>
      <c r="K62" s="168">
        <v>9.6969696969696972</v>
      </c>
      <c r="L62" s="168">
        <v>12.996632996632997</v>
      </c>
      <c r="M62" s="168">
        <v>14.68013468013468</v>
      </c>
    </row>
    <row r="63" spans="2:13" x14ac:dyDescent="0.2">
      <c r="B63" s="189" t="s">
        <v>229</v>
      </c>
      <c r="C63" s="170">
        <v>732</v>
      </c>
      <c r="D63" s="168">
        <v>18.306010928961747</v>
      </c>
      <c r="E63" s="168">
        <v>23.087431693989071</v>
      </c>
      <c r="F63" s="168">
        <v>39.617486338797811</v>
      </c>
      <c r="G63" s="168">
        <v>14.754098360655737</v>
      </c>
      <c r="H63" s="168">
        <v>4.2349726775956285</v>
      </c>
      <c r="I63" s="168">
        <v>51.229508196721312</v>
      </c>
      <c r="J63" s="168">
        <v>9.972677595628415</v>
      </c>
      <c r="K63" s="168">
        <v>9.4262295081967213</v>
      </c>
      <c r="L63" s="168">
        <v>16.120218579234972</v>
      </c>
      <c r="M63" s="168">
        <v>13.251366120218579</v>
      </c>
    </row>
    <row r="64" spans="2:13" x14ac:dyDescent="0.2">
      <c r="B64" s="189" t="s">
        <v>230</v>
      </c>
      <c r="C64" s="170">
        <v>216</v>
      </c>
      <c r="D64" s="168">
        <v>21.296296296296298</v>
      </c>
      <c r="E64" s="168">
        <v>21.75925925925926</v>
      </c>
      <c r="F64" s="168">
        <v>38.888888888888886</v>
      </c>
      <c r="G64" s="168">
        <v>13.425925925925926</v>
      </c>
      <c r="H64" s="168">
        <v>4.6296296296296298</v>
      </c>
      <c r="I64" s="168">
        <v>51.851851851851855</v>
      </c>
      <c r="J64" s="168">
        <v>7.4074074074074074</v>
      </c>
      <c r="K64" s="168">
        <v>12.5</v>
      </c>
      <c r="L64" s="168">
        <v>16.203703703703702</v>
      </c>
      <c r="M64" s="168">
        <v>12.037037037037036</v>
      </c>
    </row>
    <row r="65" spans="2:13" x14ac:dyDescent="0.2">
      <c r="B65" s="189" t="s">
        <v>231</v>
      </c>
      <c r="C65" s="170">
        <v>714</v>
      </c>
      <c r="D65" s="168">
        <v>15.546218487394958</v>
      </c>
      <c r="E65" s="168">
        <v>21.708683473389357</v>
      </c>
      <c r="F65" s="168">
        <v>38.79551820728291</v>
      </c>
      <c r="G65" s="168">
        <v>15.546218487394958</v>
      </c>
      <c r="H65" s="168">
        <v>8.4033613445378155</v>
      </c>
      <c r="I65" s="168">
        <v>45.378151260504204</v>
      </c>
      <c r="J65" s="168">
        <v>12.184873949579831</v>
      </c>
      <c r="K65" s="168">
        <v>9.9439775910364148</v>
      </c>
      <c r="L65" s="168">
        <v>14.42577030812325</v>
      </c>
      <c r="M65" s="168">
        <v>18.067226890756302</v>
      </c>
    </row>
    <row r="66" spans="2:13" x14ac:dyDescent="0.2">
      <c r="B66" s="189" t="s">
        <v>232</v>
      </c>
      <c r="C66" s="170">
        <v>3816</v>
      </c>
      <c r="D66" s="168">
        <v>16.221174004192871</v>
      </c>
      <c r="E66" s="168">
        <v>29.690775681341719</v>
      </c>
      <c r="F66" s="168">
        <v>40.90670859538784</v>
      </c>
      <c r="G66" s="168">
        <v>9.9318658280922438</v>
      </c>
      <c r="H66" s="168">
        <v>3.249475890985325</v>
      </c>
      <c r="I66" s="168">
        <v>58.752620545073377</v>
      </c>
      <c r="J66" s="168">
        <v>9.9580712788259955</v>
      </c>
      <c r="K66" s="168">
        <v>8.7264150943396235</v>
      </c>
      <c r="L66" s="168">
        <v>11.530398322851154</v>
      </c>
      <c r="M66" s="168">
        <v>11.032494758909854</v>
      </c>
    </row>
    <row r="67" spans="2:13" x14ac:dyDescent="0.2">
      <c r="B67" s="189" t="s">
        <v>233</v>
      </c>
      <c r="C67" s="170">
        <v>2069</v>
      </c>
      <c r="D67" s="168">
        <v>14.644755920734655</v>
      </c>
      <c r="E67" s="168">
        <v>23.19961333977767</v>
      </c>
      <c r="F67" s="168">
        <v>37.361043982600293</v>
      </c>
      <c r="G67" s="168">
        <v>14.451425809569841</v>
      </c>
      <c r="H67" s="168">
        <v>10.343160947317545</v>
      </c>
      <c r="I67" s="168">
        <v>43.30594490091832</v>
      </c>
      <c r="J67" s="168">
        <v>8.7965200579990341</v>
      </c>
      <c r="K67" s="168">
        <v>10.00483325277912</v>
      </c>
      <c r="L67" s="168">
        <v>14.789753504108266</v>
      </c>
      <c r="M67" s="168">
        <v>23.102948284195264</v>
      </c>
    </row>
    <row r="68" spans="2:13" x14ac:dyDescent="0.2">
      <c r="B68" s="189" t="s">
        <v>544</v>
      </c>
      <c r="C68" s="170">
        <v>8292</v>
      </c>
      <c r="D68" s="168">
        <v>22.29860106126387</v>
      </c>
      <c r="E68" s="168">
        <v>28.835021707670045</v>
      </c>
      <c r="F68" s="168">
        <v>35.479980704293297</v>
      </c>
      <c r="G68" s="168">
        <v>9.2860588519054517</v>
      </c>
      <c r="H68" s="168">
        <v>4.1003376748673421</v>
      </c>
      <c r="I68" s="168">
        <v>58.948383984563435</v>
      </c>
      <c r="J68" s="168">
        <v>8.1644958996623256</v>
      </c>
      <c r="K68" s="168">
        <v>8.345393150024119</v>
      </c>
      <c r="L68" s="168">
        <v>12.035697057404727</v>
      </c>
      <c r="M68" s="168">
        <v>12.506029908345393</v>
      </c>
    </row>
    <row r="69" spans="2:13" x14ac:dyDescent="0.2">
      <c r="B69" s="189" t="s">
        <v>234</v>
      </c>
      <c r="C69" s="170">
        <v>2467</v>
      </c>
      <c r="D69" s="168">
        <v>16.862586137008513</v>
      </c>
      <c r="E69" s="168">
        <v>24.321037697608432</v>
      </c>
      <c r="F69" s="168">
        <v>38.670449939197404</v>
      </c>
      <c r="G69" s="168">
        <v>12.119983785974869</v>
      </c>
      <c r="H69" s="168">
        <v>8.0259424402107822</v>
      </c>
      <c r="I69" s="168">
        <v>50.344548034049453</v>
      </c>
      <c r="J69" s="168">
        <v>9.4041345764085928</v>
      </c>
      <c r="K69" s="168">
        <v>9.76895014187272</v>
      </c>
      <c r="L69" s="168">
        <v>13.498175922172679</v>
      </c>
      <c r="M69" s="168">
        <v>16.984191325496553</v>
      </c>
    </row>
    <row r="70" spans="2:13" x14ac:dyDescent="0.2">
      <c r="B70" s="188" t="s">
        <v>235</v>
      </c>
      <c r="C70" s="169">
        <v>26285</v>
      </c>
      <c r="D70" s="167">
        <v>19.448354574852576</v>
      </c>
      <c r="E70" s="167">
        <v>25.877877116225985</v>
      </c>
      <c r="F70" s="167">
        <v>38.287996956439031</v>
      </c>
      <c r="G70" s="167">
        <v>11.443789233403082</v>
      </c>
      <c r="H70" s="167">
        <v>4.9419821190793227</v>
      </c>
      <c r="I70" s="167">
        <v>52.547080083697928</v>
      </c>
      <c r="J70" s="167">
        <v>9.1268784477839073</v>
      </c>
      <c r="K70" s="167">
        <v>9.4236256420011415</v>
      </c>
      <c r="L70" s="167">
        <v>13.566673007418681</v>
      </c>
      <c r="M70" s="167">
        <v>15.335742819098344</v>
      </c>
    </row>
    <row r="71" spans="2:13" x14ac:dyDescent="0.2">
      <c r="B71" s="189" t="s">
        <v>236</v>
      </c>
      <c r="C71" s="170">
        <v>925</v>
      </c>
      <c r="D71" s="168">
        <v>16.972972972972972</v>
      </c>
      <c r="E71" s="168">
        <v>23.891891891891891</v>
      </c>
      <c r="F71" s="168">
        <v>40</v>
      </c>
      <c r="G71" s="168">
        <v>11.351351351351351</v>
      </c>
      <c r="H71" s="168">
        <v>7.7837837837837842</v>
      </c>
      <c r="I71" s="168">
        <v>45.297297297297298</v>
      </c>
      <c r="J71" s="168">
        <v>8.3243243243243246</v>
      </c>
      <c r="K71" s="168">
        <v>10.162162162162161</v>
      </c>
      <c r="L71" s="168">
        <v>16.108108108108109</v>
      </c>
      <c r="M71" s="168">
        <v>20.108108108108109</v>
      </c>
    </row>
    <row r="72" spans="2:13" x14ac:dyDescent="0.2">
      <c r="B72" s="189" t="s">
        <v>237</v>
      </c>
      <c r="C72" s="170">
        <v>2154</v>
      </c>
      <c r="D72" s="168">
        <v>18.987929433611885</v>
      </c>
      <c r="E72" s="168">
        <v>27.065923862581243</v>
      </c>
      <c r="F72" s="168">
        <v>40.71494893221913</v>
      </c>
      <c r="G72" s="168">
        <v>10.352831940575673</v>
      </c>
      <c r="H72" s="168">
        <v>2.8783658310120708</v>
      </c>
      <c r="I72" s="168">
        <v>63.463324048282267</v>
      </c>
      <c r="J72" s="168">
        <v>7.8458681522748375</v>
      </c>
      <c r="K72" s="168">
        <v>9.3779015784586814</v>
      </c>
      <c r="L72" s="168">
        <v>9.9814298978644391</v>
      </c>
      <c r="M72" s="168">
        <v>9.3314763231197766</v>
      </c>
    </row>
    <row r="73" spans="2:13" x14ac:dyDescent="0.2">
      <c r="B73" s="189" t="s">
        <v>238</v>
      </c>
      <c r="C73" s="170">
        <v>388</v>
      </c>
      <c r="D73" s="168">
        <v>18.298969072164947</v>
      </c>
      <c r="E73" s="168">
        <v>24.742268041237114</v>
      </c>
      <c r="F73" s="168">
        <v>39.948453608247419</v>
      </c>
      <c r="G73" s="168">
        <v>12.11340206185567</v>
      </c>
      <c r="H73" s="168">
        <v>4.8969072164948457</v>
      </c>
      <c r="I73" s="168">
        <v>52.835051546391753</v>
      </c>
      <c r="J73" s="168">
        <v>9.536082474226804</v>
      </c>
      <c r="K73" s="168">
        <v>8.2474226804123703</v>
      </c>
      <c r="L73" s="168">
        <v>14.690721649484535</v>
      </c>
      <c r="M73" s="168">
        <v>14.690721649484535</v>
      </c>
    </row>
    <row r="74" spans="2:13" x14ac:dyDescent="0.2">
      <c r="B74" s="189" t="s">
        <v>655</v>
      </c>
      <c r="C74" s="170">
        <v>903</v>
      </c>
      <c r="D74" s="168">
        <v>19.379844961240309</v>
      </c>
      <c r="E74" s="168">
        <v>25.802879291251383</v>
      </c>
      <c r="F74" s="168">
        <v>36.987818383167223</v>
      </c>
      <c r="G74" s="168">
        <v>12.181616832779623</v>
      </c>
      <c r="H74" s="168">
        <v>5.6478405315614619</v>
      </c>
      <c r="I74" s="168">
        <v>44.518272425249172</v>
      </c>
      <c r="J74" s="168">
        <v>10.077519379844961</v>
      </c>
      <c r="K74" s="168">
        <v>9.856035437430787</v>
      </c>
      <c r="L74" s="168">
        <v>14.950166112956811</v>
      </c>
      <c r="M74" s="168">
        <v>20.598006644518271</v>
      </c>
    </row>
    <row r="75" spans="2:13" x14ac:dyDescent="0.2">
      <c r="B75" s="189" t="s">
        <v>239</v>
      </c>
      <c r="C75" s="170">
        <v>439</v>
      </c>
      <c r="D75" s="168">
        <v>21.412300683371299</v>
      </c>
      <c r="E75" s="168">
        <v>28.018223234624145</v>
      </c>
      <c r="F75" s="168">
        <v>38.724373576309794</v>
      </c>
      <c r="G75" s="168">
        <v>8.8838268792710711</v>
      </c>
      <c r="H75" s="168">
        <v>2.9612756264236904</v>
      </c>
      <c r="I75" s="168">
        <v>50.797266514806381</v>
      </c>
      <c r="J75" s="168">
        <v>12.072892938496583</v>
      </c>
      <c r="K75" s="168">
        <v>9.3394077448747161</v>
      </c>
      <c r="L75" s="168">
        <v>15.489749430523919</v>
      </c>
      <c r="M75" s="168">
        <v>12.300683371298405</v>
      </c>
    </row>
    <row r="76" spans="2:13" x14ac:dyDescent="0.2">
      <c r="B76" s="189" t="s">
        <v>240</v>
      </c>
      <c r="C76" s="170">
        <v>6420</v>
      </c>
      <c r="D76" s="168">
        <v>20.498442367601246</v>
      </c>
      <c r="E76" s="168">
        <v>27.102803738317757</v>
      </c>
      <c r="F76" s="168">
        <v>36.666666666666664</v>
      </c>
      <c r="G76" s="168">
        <v>10.327102803738319</v>
      </c>
      <c r="H76" s="168">
        <v>5.4049844236760123</v>
      </c>
      <c r="I76" s="168">
        <v>52.912772585669785</v>
      </c>
      <c r="J76" s="168">
        <v>10.062305295950155</v>
      </c>
      <c r="K76" s="168">
        <v>9.4704049844236753</v>
      </c>
      <c r="L76" s="168">
        <v>12.538940809968848</v>
      </c>
      <c r="M76" s="168">
        <v>15.015576323987538</v>
      </c>
    </row>
    <row r="77" spans="2:13" x14ac:dyDescent="0.2">
      <c r="B77" s="189" t="s">
        <v>241</v>
      </c>
      <c r="C77" s="170">
        <v>335</v>
      </c>
      <c r="D77" s="168">
        <v>22.089552238805972</v>
      </c>
      <c r="E77" s="168">
        <v>27.164179104477611</v>
      </c>
      <c r="F77" s="168">
        <v>31.343283582089551</v>
      </c>
      <c r="G77" s="168">
        <v>14.328358208955224</v>
      </c>
      <c r="H77" s="168">
        <v>5.0746268656716422</v>
      </c>
      <c r="I77" s="168">
        <v>45.671641791044777</v>
      </c>
      <c r="J77" s="168">
        <v>7.7611940298507465</v>
      </c>
      <c r="K77" s="168">
        <v>12.835820895522389</v>
      </c>
      <c r="L77" s="168">
        <v>16.119402985074625</v>
      </c>
      <c r="M77" s="168">
        <v>17.611940298507463</v>
      </c>
    </row>
    <row r="78" spans="2:13" x14ac:dyDescent="0.2">
      <c r="B78" s="189" t="s">
        <v>242</v>
      </c>
      <c r="C78" s="170">
        <v>150</v>
      </c>
      <c r="D78" s="168">
        <v>22</v>
      </c>
      <c r="E78" s="168">
        <v>23.333333333333332</v>
      </c>
      <c r="F78" s="168">
        <v>34.666666666666664</v>
      </c>
      <c r="G78" s="168">
        <v>13.333333333333334</v>
      </c>
      <c r="H78" s="168">
        <v>6.666666666666667</v>
      </c>
      <c r="I78" s="168">
        <v>53.333333333333336</v>
      </c>
      <c r="J78" s="168">
        <v>10.666666666666666</v>
      </c>
      <c r="K78" s="168">
        <v>6</v>
      </c>
      <c r="L78" s="168">
        <v>14.666666666666666</v>
      </c>
      <c r="M78" s="168">
        <v>15.333333333333334</v>
      </c>
    </row>
    <row r="79" spans="2:13" x14ac:dyDescent="0.2">
      <c r="B79" s="189" t="s">
        <v>243</v>
      </c>
      <c r="C79" s="170">
        <v>237</v>
      </c>
      <c r="D79" s="168">
        <v>18.565400843881857</v>
      </c>
      <c r="E79" s="168">
        <v>19.40928270042194</v>
      </c>
      <c r="F79" s="168">
        <v>28.691983122362871</v>
      </c>
      <c r="G79" s="168">
        <v>21.940928270042193</v>
      </c>
      <c r="H79" s="168">
        <v>11.39240506329114</v>
      </c>
      <c r="I79" s="168">
        <v>47.679324894514771</v>
      </c>
      <c r="J79" s="168">
        <v>6.7510548523206753</v>
      </c>
      <c r="K79" s="168">
        <v>9.2827004219409286</v>
      </c>
      <c r="L79" s="168">
        <v>13.080168776371307</v>
      </c>
      <c r="M79" s="168">
        <v>23.206751054852322</v>
      </c>
    </row>
    <row r="80" spans="2:13" x14ac:dyDescent="0.2">
      <c r="B80" s="189" t="s">
        <v>545</v>
      </c>
      <c r="C80" s="170">
        <v>1870</v>
      </c>
      <c r="D80" s="168">
        <v>16.844919786096256</v>
      </c>
      <c r="E80" s="168">
        <v>24.652406417112299</v>
      </c>
      <c r="F80" s="168">
        <v>40.588235294117645</v>
      </c>
      <c r="G80" s="168">
        <v>12.13903743315508</v>
      </c>
      <c r="H80" s="168">
        <v>5.7754010695187166</v>
      </c>
      <c r="I80" s="168">
        <v>54.759358288770052</v>
      </c>
      <c r="J80" s="168">
        <v>9.2513368983957225</v>
      </c>
      <c r="K80" s="168">
        <v>9.144385026737968</v>
      </c>
      <c r="L80" s="168">
        <v>12.352941176470589</v>
      </c>
      <c r="M80" s="168">
        <v>14.491978609625669</v>
      </c>
    </row>
    <row r="81" spans="2:13" x14ac:dyDescent="0.2">
      <c r="B81" s="189" t="s">
        <v>244</v>
      </c>
      <c r="C81" s="170">
        <v>1263</v>
      </c>
      <c r="D81" s="168">
        <v>13.93507521773555</v>
      </c>
      <c r="E81" s="168">
        <v>24.386381631037214</v>
      </c>
      <c r="F81" s="168">
        <v>42.913697545526524</v>
      </c>
      <c r="G81" s="168">
        <v>14.172604908946951</v>
      </c>
      <c r="H81" s="168">
        <v>4.5922406967537608</v>
      </c>
      <c r="I81" s="168">
        <v>49.960411718131432</v>
      </c>
      <c r="J81" s="168">
        <v>10.055423594615993</v>
      </c>
      <c r="K81" s="168">
        <v>9.5011876484560567</v>
      </c>
      <c r="L81" s="168">
        <v>16.231195566112429</v>
      </c>
      <c r="M81" s="168">
        <v>14.251781472684085</v>
      </c>
    </row>
    <row r="82" spans="2:13" x14ac:dyDescent="0.2">
      <c r="B82" s="189" t="s">
        <v>245</v>
      </c>
      <c r="C82" s="170">
        <v>174</v>
      </c>
      <c r="D82" s="168">
        <v>20.689655172413794</v>
      </c>
      <c r="E82" s="168">
        <v>32.758620689655174</v>
      </c>
      <c r="F82" s="168">
        <v>33.908045977011497</v>
      </c>
      <c r="G82" s="168">
        <v>12.6436782</v>
      </c>
      <c r="H82" s="229" t="s">
        <v>663</v>
      </c>
      <c r="I82" s="168">
        <v>47.126436781609193</v>
      </c>
      <c r="J82" s="168">
        <v>8.0459770114942533</v>
      </c>
      <c r="K82" s="168">
        <v>12.64367816091954</v>
      </c>
      <c r="L82" s="168">
        <v>13.793103448275861</v>
      </c>
      <c r="M82" s="168">
        <v>18.390804597701148</v>
      </c>
    </row>
    <row r="83" spans="2:13" x14ac:dyDescent="0.2">
      <c r="B83" s="189" t="s">
        <v>246</v>
      </c>
      <c r="C83" s="170">
        <v>222</v>
      </c>
      <c r="D83" s="168">
        <v>25.675675675675677</v>
      </c>
      <c r="E83" s="168">
        <v>21.171171171171171</v>
      </c>
      <c r="F83" s="168">
        <v>35.135135135135137</v>
      </c>
      <c r="G83" s="168">
        <v>14.414414414414415</v>
      </c>
      <c r="H83" s="168">
        <v>3.6036036036036037</v>
      </c>
      <c r="I83" s="168">
        <v>43.243243243243242</v>
      </c>
      <c r="J83" s="168">
        <v>11.711711711711711</v>
      </c>
      <c r="K83" s="168">
        <v>8.1081081081081088</v>
      </c>
      <c r="L83" s="168">
        <v>19.36936936936937</v>
      </c>
      <c r="M83" s="168">
        <v>17.567567567567568</v>
      </c>
    </row>
    <row r="84" spans="2:13" x14ac:dyDescent="0.2">
      <c r="B84" s="189" t="s">
        <v>247</v>
      </c>
      <c r="C84" s="170">
        <v>590</v>
      </c>
      <c r="D84" s="168">
        <v>16.440677966101696</v>
      </c>
      <c r="E84" s="168">
        <v>26.271186440677965</v>
      </c>
      <c r="F84" s="168">
        <v>41.186440677966104</v>
      </c>
      <c r="G84" s="168">
        <v>11.864406779661017</v>
      </c>
      <c r="H84" s="168">
        <v>4.2372881355932206</v>
      </c>
      <c r="I84" s="168">
        <v>55.254237288135592</v>
      </c>
      <c r="J84" s="168">
        <v>8.8135593220338979</v>
      </c>
      <c r="K84" s="168">
        <v>10.677966101694915</v>
      </c>
      <c r="L84" s="168">
        <v>13.728813559322035</v>
      </c>
      <c r="M84" s="168">
        <v>11.525423728813559</v>
      </c>
    </row>
    <row r="85" spans="2:13" x14ac:dyDescent="0.2">
      <c r="B85" s="189" t="s">
        <v>248</v>
      </c>
      <c r="C85" s="170">
        <v>268</v>
      </c>
      <c r="D85" s="168">
        <v>19.776119402985074</v>
      </c>
      <c r="E85" s="168">
        <v>28.731343283582088</v>
      </c>
      <c r="F85" s="168">
        <v>34.701492537313435</v>
      </c>
      <c r="G85" s="168">
        <v>12.686567164179104</v>
      </c>
      <c r="H85" s="168">
        <v>4.1044776119402986</v>
      </c>
      <c r="I85" s="168">
        <v>48.134328358208954</v>
      </c>
      <c r="J85" s="168">
        <v>5.5970149253731343</v>
      </c>
      <c r="K85" s="168">
        <v>7.08955223880597</v>
      </c>
      <c r="L85" s="168">
        <v>16.791044776119403</v>
      </c>
      <c r="M85" s="168">
        <v>22.388059701492537</v>
      </c>
    </row>
    <row r="86" spans="2:13" x14ac:dyDescent="0.2">
      <c r="B86" s="189" t="s">
        <v>249</v>
      </c>
      <c r="C86" s="170">
        <v>574</v>
      </c>
      <c r="D86" s="168">
        <v>18.641114982578397</v>
      </c>
      <c r="E86" s="168">
        <v>21.777003484320556</v>
      </c>
      <c r="F86" s="168">
        <v>38.850174216027874</v>
      </c>
      <c r="G86" s="168">
        <v>15.331010452961673</v>
      </c>
      <c r="H86" s="168">
        <v>5.4006968641114979</v>
      </c>
      <c r="I86" s="168">
        <v>45.296167247386762</v>
      </c>
      <c r="J86" s="168">
        <v>8.536585365853659</v>
      </c>
      <c r="K86" s="168">
        <v>7.6655052264808363</v>
      </c>
      <c r="L86" s="168">
        <v>19.686411149825783</v>
      </c>
      <c r="M86" s="168">
        <v>18.815331010452962</v>
      </c>
    </row>
    <row r="87" spans="2:13" x14ac:dyDescent="0.2">
      <c r="B87" s="189" t="s">
        <v>250</v>
      </c>
      <c r="C87" s="170">
        <v>814</v>
      </c>
      <c r="D87" s="168">
        <v>16.216216216216218</v>
      </c>
      <c r="E87" s="168">
        <v>26.412776412776413</v>
      </c>
      <c r="F87" s="168">
        <v>40.786240786240789</v>
      </c>
      <c r="G87" s="168">
        <v>11.793611793611793</v>
      </c>
      <c r="H87" s="168">
        <v>4.7911547911547911</v>
      </c>
      <c r="I87" s="168">
        <v>48.77149877149877</v>
      </c>
      <c r="J87" s="168">
        <v>7.4938574938574938</v>
      </c>
      <c r="K87" s="168">
        <v>9.0909090909090917</v>
      </c>
      <c r="L87" s="168">
        <v>13.759213759213759</v>
      </c>
      <c r="M87" s="168">
        <v>20.884520884520885</v>
      </c>
    </row>
    <row r="88" spans="2:13" x14ac:dyDescent="0.2">
      <c r="B88" s="189" t="s">
        <v>251</v>
      </c>
      <c r="C88" s="170">
        <v>479</v>
      </c>
      <c r="D88" s="168">
        <v>20.45929018789144</v>
      </c>
      <c r="E88" s="168">
        <v>23.382045929018791</v>
      </c>
      <c r="F88" s="168">
        <v>36.534446764091861</v>
      </c>
      <c r="G88" s="168">
        <v>14.822546972860126</v>
      </c>
      <c r="H88" s="168">
        <v>4.8016701461377869</v>
      </c>
      <c r="I88" s="168">
        <v>44.676409185803756</v>
      </c>
      <c r="J88" s="168">
        <v>10.438413361169102</v>
      </c>
      <c r="K88" s="168">
        <v>8.1419624217119004</v>
      </c>
      <c r="L88" s="168">
        <v>16.701461377870565</v>
      </c>
      <c r="M88" s="168">
        <v>20.041753653444676</v>
      </c>
    </row>
    <row r="89" spans="2:13" x14ac:dyDescent="0.2">
      <c r="B89" s="189" t="s">
        <v>252</v>
      </c>
      <c r="C89" s="170">
        <v>377</v>
      </c>
      <c r="D89" s="168">
        <v>21.750663129973475</v>
      </c>
      <c r="E89" s="168">
        <v>21.750663129973475</v>
      </c>
      <c r="F89" s="168">
        <v>39.787798408488065</v>
      </c>
      <c r="G89" s="168">
        <v>11.671087533156498</v>
      </c>
      <c r="H89" s="168">
        <v>5.0397877984084882</v>
      </c>
      <c r="I89" s="168">
        <v>46.419098143236077</v>
      </c>
      <c r="J89" s="168">
        <v>8.7533156498673748</v>
      </c>
      <c r="K89" s="168">
        <v>11.405835543766578</v>
      </c>
      <c r="L89" s="168">
        <v>13.527851458885941</v>
      </c>
      <c r="M89" s="168">
        <v>19.893899204244033</v>
      </c>
    </row>
    <row r="90" spans="2:13" x14ac:dyDescent="0.2">
      <c r="B90" s="189" t="s">
        <v>253</v>
      </c>
      <c r="C90" s="170">
        <v>670</v>
      </c>
      <c r="D90" s="168">
        <v>20.298507462686569</v>
      </c>
      <c r="E90" s="168">
        <v>27.014925373134329</v>
      </c>
      <c r="F90" s="168">
        <v>37.611940298507463</v>
      </c>
      <c r="G90" s="168">
        <v>10.298507462686567</v>
      </c>
      <c r="H90" s="168">
        <v>4.7761194029850742</v>
      </c>
      <c r="I90" s="168">
        <v>56.119402985074629</v>
      </c>
      <c r="J90" s="168">
        <v>8.5074626865671643</v>
      </c>
      <c r="K90" s="168">
        <v>8.5074626865671643</v>
      </c>
      <c r="L90" s="168">
        <v>10.746268656716419</v>
      </c>
      <c r="M90" s="168">
        <v>16.119402985074625</v>
      </c>
    </row>
    <row r="91" spans="2:13" x14ac:dyDescent="0.2">
      <c r="B91" s="189" t="s">
        <v>254</v>
      </c>
      <c r="C91" s="170">
        <v>1001</v>
      </c>
      <c r="D91" s="168">
        <v>20.779220779220779</v>
      </c>
      <c r="E91" s="168">
        <v>25.374625374625374</v>
      </c>
      <c r="F91" s="168">
        <v>36.263736263736263</v>
      </c>
      <c r="G91" s="168">
        <v>11.288711288711289</v>
      </c>
      <c r="H91" s="168">
        <v>6.2937062937062933</v>
      </c>
      <c r="I91" s="168">
        <v>49.650349650349654</v>
      </c>
      <c r="J91" s="168">
        <v>8.791208791208792</v>
      </c>
      <c r="K91" s="168">
        <v>8.9910089910089912</v>
      </c>
      <c r="L91" s="168">
        <v>13.386613386613387</v>
      </c>
      <c r="M91" s="168">
        <v>19.180819180819181</v>
      </c>
    </row>
    <row r="92" spans="2:13" x14ac:dyDescent="0.2">
      <c r="B92" s="189" t="s">
        <v>546</v>
      </c>
      <c r="C92" s="170">
        <v>435</v>
      </c>
      <c r="D92" s="168">
        <v>16.551724137931036</v>
      </c>
      <c r="E92" s="168">
        <v>26.206896551724139</v>
      </c>
      <c r="F92" s="168">
        <v>40.919540229885058</v>
      </c>
      <c r="G92" s="168">
        <v>12.413793103448276</v>
      </c>
      <c r="H92" s="168">
        <v>3.9080459770114944</v>
      </c>
      <c r="I92" s="168">
        <v>38.390804597701148</v>
      </c>
      <c r="J92" s="168">
        <v>9.1954022988505741</v>
      </c>
      <c r="K92" s="168">
        <v>11.264367816091953</v>
      </c>
      <c r="L92" s="168">
        <v>20.689655172413794</v>
      </c>
      <c r="M92" s="168">
        <v>20.459770114942529</v>
      </c>
    </row>
    <row r="93" spans="2:13" x14ac:dyDescent="0.2">
      <c r="B93" s="189" t="s">
        <v>547</v>
      </c>
      <c r="C93" s="170">
        <v>771</v>
      </c>
      <c r="D93" s="168">
        <v>22.178988326848248</v>
      </c>
      <c r="E93" s="168">
        <v>26.199740596627755</v>
      </c>
      <c r="F93" s="168">
        <v>35.019455252918291</v>
      </c>
      <c r="G93" s="168">
        <v>12.062256809338521</v>
      </c>
      <c r="H93" s="168">
        <v>4.5395590142671853</v>
      </c>
      <c r="I93" s="168">
        <v>54.474708171206224</v>
      </c>
      <c r="J93" s="168">
        <v>9.0791180285343707</v>
      </c>
      <c r="K93" s="168">
        <v>8.9494163424124515</v>
      </c>
      <c r="L93" s="168">
        <v>13.099870298313878</v>
      </c>
      <c r="M93" s="168">
        <v>14.396887159533074</v>
      </c>
    </row>
    <row r="94" spans="2:13" x14ac:dyDescent="0.2">
      <c r="B94" s="189" t="s">
        <v>255</v>
      </c>
      <c r="C94" s="170">
        <v>1102</v>
      </c>
      <c r="D94" s="168">
        <v>16.878402903811253</v>
      </c>
      <c r="E94" s="168">
        <v>24.047186932849364</v>
      </c>
      <c r="F94" s="168">
        <v>40.381125226860256</v>
      </c>
      <c r="G94" s="168">
        <v>13.702359346642469</v>
      </c>
      <c r="H94" s="168">
        <v>4.9909255898366602</v>
      </c>
      <c r="I94" s="168">
        <v>50.816696914700543</v>
      </c>
      <c r="J94" s="168">
        <v>7.1687840290381128</v>
      </c>
      <c r="K94" s="168">
        <v>10.163339382940109</v>
      </c>
      <c r="L94" s="168">
        <v>16.424682395644282</v>
      </c>
      <c r="M94" s="168">
        <v>15.426497277676951</v>
      </c>
    </row>
    <row r="95" spans="2:13" x14ac:dyDescent="0.2">
      <c r="B95" s="189" t="s">
        <v>256</v>
      </c>
      <c r="C95" s="170">
        <v>820</v>
      </c>
      <c r="D95" s="168">
        <v>18.170731707317074</v>
      </c>
      <c r="E95" s="168">
        <v>25.853658536585368</v>
      </c>
      <c r="F95" s="168">
        <v>37.560975609756099</v>
      </c>
      <c r="G95" s="168">
        <v>13.292682926829269</v>
      </c>
      <c r="H95" s="168">
        <v>5.1219512195121952</v>
      </c>
      <c r="I95" s="168">
        <v>49.390243902439025</v>
      </c>
      <c r="J95" s="168">
        <v>8.9024390243902438</v>
      </c>
      <c r="K95" s="168">
        <v>9.3902439024390247</v>
      </c>
      <c r="L95" s="168">
        <v>14.512195121951219</v>
      </c>
      <c r="M95" s="168">
        <v>17.804878048780488</v>
      </c>
    </row>
    <row r="96" spans="2:13" x14ac:dyDescent="0.2">
      <c r="B96" s="189" t="s">
        <v>257</v>
      </c>
      <c r="C96" s="170">
        <v>3807</v>
      </c>
      <c r="D96" s="168">
        <v>22.038350407144733</v>
      </c>
      <c r="E96" s="168">
        <v>26.267402153926977</v>
      </c>
      <c r="F96" s="168">
        <v>37.903861308116625</v>
      </c>
      <c r="G96" s="168">
        <v>9.5087995797215648</v>
      </c>
      <c r="H96" s="168">
        <v>4.281586551090097</v>
      </c>
      <c r="I96" s="168">
        <v>55.05647491463094</v>
      </c>
      <c r="J96" s="168">
        <v>9.2461255581822961</v>
      </c>
      <c r="K96" s="168">
        <v>9.4299973732597842</v>
      </c>
      <c r="L96" s="168">
        <v>12.68715524034673</v>
      </c>
      <c r="M96" s="168">
        <v>13.580246913580247</v>
      </c>
    </row>
    <row r="97" spans="2:13" x14ac:dyDescent="0.2">
      <c r="B97" s="188" t="s">
        <v>258</v>
      </c>
      <c r="C97" s="169">
        <v>21988</v>
      </c>
      <c r="D97" s="167">
        <v>20.92050209205021</v>
      </c>
      <c r="E97" s="167">
        <v>30.207385846825542</v>
      </c>
      <c r="F97" s="167">
        <v>37.725122794251412</v>
      </c>
      <c r="G97" s="167">
        <v>8.0953247225759508</v>
      </c>
      <c r="H97" s="167">
        <v>3.051664544296889</v>
      </c>
      <c r="I97" s="167">
        <v>55.216481717300347</v>
      </c>
      <c r="J97" s="167">
        <v>8.5364744406039659</v>
      </c>
      <c r="K97" s="167">
        <v>9.4642532290340178</v>
      </c>
      <c r="L97" s="167">
        <v>13.580134618883028</v>
      </c>
      <c r="M97" s="167">
        <v>13.202655994178643</v>
      </c>
    </row>
    <row r="98" spans="2:13" x14ac:dyDescent="0.2">
      <c r="B98" s="189" t="s">
        <v>259</v>
      </c>
      <c r="C98" s="170">
        <v>1745</v>
      </c>
      <c r="D98" s="168">
        <v>20.343839541547279</v>
      </c>
      <c r="E98" s="168">
        <v>27.220630372492838</v>
      </c>
      <c r="F98" s="168">
        <v>37.02005730659026</v>
      </c>
      <c r="G98" s="168">
        <v>9.3409742120343839</v>
      </c>
      <c r="H98" s="168">
        <v>6.0744985673352438</v>
      </c>
      <c r="I98" s="168">
        <v>49.283667621776502</v>
      </c>
      <c r="J98" s="168">
        <v>8.9971346704871067</v>
      </c>
      <c r="K98" s="168">
        <v>9.6275071633237825</v>
      </c>
      <c r="L98" s="168">
        <v>13.810888252148997</v>
      </c>
      <c r="M98" s="168">
        <v>18.280802292263612</v>
      </c>
    </row>
    <row r="99" spans="2:13" x14ac:dyDescent="0.2">
      <c r="B99" s="189" t="s">
        <v>260</v>
      </c>
      <c r="C99" s="170">
        <v>626</v>
      </c>
      <c r="D99" s="168">
        <v>19.329073482428115</v>
      </c>
      <c r="E99" s="168">
        <v>24.440894568690094</v>
      </c>
      <c r="F99" s="168">
        <v>38.81789137380192</v>
      </c>
      <c r="G99" s="168">
        <v>11.661341853035143</v>
      </c>
      <c r="H99" s="168">
        <v>5.7507987220447285</v>
      </c>
      <c r="I99" s="168">
        <v>42.811501597444092</v>
      </c>
      <c r="J99" s="168">
        <v>8.7859424920127793</v>
      </c>
      <c r="K99" s="168">
        <v>11.022364217252397</v>
      </c>
      <c r="L99" s="168">
        <v>14.536741214057509</v>
      </c>
      <c r="M99" s="168">
        <v>22.843450479233226</v>
      </c>
    </row>
    <row r="100" spans="2:13" x14ac:dyDescent="0.2">
      <c r="B100" s="223" t="s">
        <v>548</v>
      </c>
      <c r="C100" s="170">
        <v>555</v>
      </c>
      <c r="D100" s="168">
        <v>20</v>
      </c>
      <c r="E100" s="168">
        <v>33.513513513513516</v>
      </c>
      <c r="F100" s="168">
        <v>39.45945945945946</v>
      </c>
      <c r="G100" s="168">
        <v>4.6846846846846848</v>
      </c>
      <c r="H100" s="168">
        <v>2.3423423423423424</v>
      </c>
      <c r="I100" s="168">
        <v>60.18018018018018</v>
      </c>
      <c r="J100" s="168">
        <v>9.1891891891891895</v>
      </c>
      <c r="K100" s="168">
        <v>10.09009009009009</v>
      </c>
      <c r="L100" s="168">
        <v>11.711711711711711</v>
      </c>
      <c r="M100" s="168">
        <v>8.8288288288288292</v>
      </c>
    </row>
    <row r="101" spans="2:13" x14ac:dyDescent="0.2">
      <c r="B101" s="189" t="s">
        <v>261</v>
      </c>
      <c r="C101" s="170">
        <v>666</v>
      </c>
      <c r="D101" s="168">
        <v>19.219219219219219</v>
      </c>
      <c r="E101" s="168">
        <v>25.375375375375377</v>
      </c>
      <c r="F101" s="168">
        <v>40.54054054054054</v>
      </c>
      <c r="G101" s="168">
        <v>10.51051051051051</v>
      </c>
      <c r="H101" s="168">
        <v>4.3543543543543546</v>
      </c>
      <c r="I101" s="168">
        <v>49.6996996996997</v>
      </c>
      <c r="J101" s="168">
        <v>7.3573573573573574</v>
      </c>
      <c r="K101" s="168">
        <v>9.1591591591591595</v>
      </c>
      <c r="L101" s="168">
        <v>15.165165165165165</v>
      </c>
      <c r="M101" s="168">
        <v>18.618618618618619</v>
      </c>
    </row>
    <row r="102" spans="2:13" x14ac:dyDescent="0.2">
      <c r="B102" s="189" t="s">
        <v>262</v>
      </c>
      <c r="C102" s="170">
        <v>1151</v>
      </c>
      <c r="D102" s="168">
        <v>17.636837532580365</v>
      </c>
      <c r="E102" s="168">
        <v>32.580364900086884</v>
      </c>
      <c r="F102" s="168">
        <v>38.575152041702864</v>
      </c>
      <c r="G102" s="168">
        <v>8.4274543874891403</v>
      </c>
      <c r="H102" s="168">
        <v>2.7801911381407471</v>
      </c>
      <c r="I102" s="168">
        <v>51.433536055603824</v>
      </c>
      <c r="J102" s="168">
        <v>9.0356211989574291</v>
      </c>
      <c r="K102" s="168">
        <v>9.6437880104257161</v>
      </c>
      <c r="L102" s="168">
        <v>14.943527367506515</v>
      </c>
      <c r="M102" s="168">
        <v>14.943527367506515</v>
      </c>
    </row>
    <row r="103" spans="2:13" x14ac:dyDescent="0.2">
      <c r="B103" s="189" t="s">
        <v>263</v>
      </c>
      <c r="C103" s="170">
        <v>775</v>
      </c>
      <c r="D103" s="168">
        <v>16.64516129032258</v>
      </c>
      <c r="E103" s="168">
        <v>31.741935483870968</v>
      </c>
      <c r="F103" s="168">
        <v>40</v>
      </c>
      <c r="G103" s="168">
        <v>8.6451612903225801</v>
      </c>
      <c r="H103" s="168">
        <v>2.967741935483871</v>
      </c>
      <c r="I103" s="168">
        <v>55.741935483870968</v>
      </c>
      <c r="J103" s="168">
        <v>10.32258064516129</v>
      </c>
      <c r="K103" s="168">
        <v>8.258064516129032</v>
      </c>
      <c r="L103" s="168">
        <v>13.161290322580646</v>
      </c>
      <c r="M103" s="168">
        <v>12.516129032258064</v>
      </c>
    </row>
    <row r="104" spans="2:13" x14ac:dyDescent="0.2">
      <c r="B104" s="189" t="s">
        <v>549</v>
      </c>
      <c r="C104" s="170">
        <v>242</v>
      </c>
      <c r="D104" s="168">
        <v>17.768595041322314</v>
      </c>
      <c r="E104" s="168">
        <v>27.685950413223139</v>
      </c>
      <c r="F104" s="168">
        <v>37.603305785123965</v>
      </c>
      <c r="G104" s="168">
        <v>9.9173553719008272</v>
      </c>
      <c r="H104" s="168">
        <v>7.0247933884297522</v>
      </c>
      <c r="I104" s="168">
        <v>41.735537190082646</v>
      </c>
      <c r="J104" s="168">
        <v>6.1983471074380168</v>
      </c>
      <c r="K104" s="168">
        <v>14.049586776859504</v>
      </c>
      <c r="L104" s="168">
        <v>18.595041322314049</v>
      </c>
      <c r="M104" s="168">
        <v>19.421487603305785</v>
      </c>
    </row>
    <row r="105" spans="2:13" x14ac:dyDescent="0.2">
      <c r="B105" s="189" t="s">
        <v>264</v>
      </c>
      <c r="C105" s="170">
        <v>416</v>
      </c>
      <c r="D105" s="168">
        <v>18.75</v>
      </c>
      <c r="E105" s="168">
        <v>24.278846153846153</v>
      </c>
      <c r="F105" s="168">
        <v>41.346153846153847</v>
      </c>
      <c r="G105" s="168">
        <v>11.538461538461538</v>
      </c>
      <c r="H105" s="168">
        <v>4.0865384615384617</v>
      </c>
      <c r="I105" s="168">
        <v>48.557692307692307</v>
      </c>
      <c r="J105" s="168">
        <v>6.9711538461538458</v>
      </c>
      <c r="K105" s="168">
        <v>10.576923076923077</v>
      </c>
      <c r="L105" s="168">
        <v>17.78846153846154</v>
      </c>
      <c r="M105" s="168">
        <v>16.10576923076923</v>
      </c>
    </row>
    <row r="106" spans="2:13" x14ac:dyDescent="0.2">
      <c r="B106" s="189" t="s">
        <v>265</v>
      </c>
      <c r="C106" s="170">
        <v>3167</v>
      </c>
      <c r="D106" s="168">
        <v>23.302810230502054</v>
      </c>
      <c r="E106" s="168">
        <v>31.922955478370699</v>
      </c>
      <c r="F106" s="168">
        <v>35.806757183454373</v>
      </c>
      <c r="G106" s="168">
        <v>6.4414272181875596</v>
      </c>
      <c r="H106" s="168">
        <v>2.5260498894853174</v>
      </c>
      <c r="I106" s="168">
        <v>60.688348594884751</v>
      </c>
      <c r="J106" s="168">
        <v>8.1780865172087154</v>
      </c>
      <c r="K106" s="168">
        <v>8.2096621408272821</v>
      </c>
      <c r="L106" s="168">
        <v>12.251341964003789</v>
      </c>
      <c r="M106" s="168">
        <v>10.672560783075467</v>
      </c>
    </row>
    <row r="107" spans="2:13" x14ac:dyDescent="0.2">
      <c r="B107" s="189" t="s">
        <v>266</v>
      </c>
      <c r="C107" s="170">
        <v>1389</v>
      </c>
      <c r="D107" s="168">
        <v>19.22246220302376</v>
      </c>
      <c r="E107" s="168">
        <v>31.101511879049674</v>
      </c>
      <c r="F107" s="168">
        <v>38.51691864650828</v>
      </c>
      <c r="G107" s="168">
        <v>8.9272858171346297</v>
      </c>
      <c r="H107" s="168">
        <v>2.2318214542836574</v>
      </c>
      <c r="I107" s="168">
        <v>52.627789776817856</v>
      </c>
      <c r="J107" s="168">
        <v>9.2152627789776815</v>
      </c>
      <c r="K107" s="168">
        <v>11.879049676025918</v>
      </c>
      <c r="L107" s="168">
        <v>14.038876889848812</v>
      </c>
      <c r="M107" s="168">
        <v>12.239020878329734</v>
      </c>
    </row>
    <row r="108" spans="2:13" x14ac:dyDescent="0.2">
      <c r="B108" s="189" t="s">
        <v>550</v>
      </c>
      <c r="C108" s="170">
        <v>4503</v>
      </c>
      <c r="D108" s="168">
        <v>22.607150788363313</v>
      </c>
      <c r="E108" s="168">
        <v>31.956473462136355</v>
      </c>
      <c r="F108" s="168">
        <v>36.686653342216303</v>
      </c>
      <c r="G108" s="168">
        <v>6.6178103486564517</v>
      </c>
      <c r="H108" s="168">
        <v>2.1319120586275817</v>
      </c>
      <c r="I108" s="168">
        <v>60.048856318010216</v>
      </c>
      <c r="J108" s="168">
        <v>7.9946702198534307</v>
      </c>
      <c r="K108" s="168">
        <v>8.5720630690650683</v>
      </c>
      <c r="L108" s="168">
        <v>11.880968243393294</v>
      </c>
      <c r="M108" s="168">
        <v>11.503442149677992</v>
      </c>
    </row>
    <row r="109" spans="2:13" x14ac:dyDescent="0.2">
      <c r="B109" s="189" t="s">
        <v>267</v>
      </c>
      <c r="C109" s="170">
        <v>463</v>
      </c>
      <c r="D109" s="168">
        <v>25.91792656587473</v>
      </c>
      <c r="E109" s="168">
        <v>30.237580993520517</v>
      </c>
      <c r="F109" s="168">
        <v>34.773218142548593</v>
      </c>
      <c r="G109" s="168">
        <v>6.9114470842332612</v>
      </c>
      <c r="H109" s="168">
        <v>2.159827213822894</v>
      </c>
      <c r="I109" s="168">
        <v>52.267818574514038</v>
      </c>
      <c r="J109" s="168">
        <v>9.2872570194384441</v>
      </c>
      <c r="K109" s="168">
        <v>9.0712742980561547</v>
      </c>
      <c r="L109" s="168">
        <v>17.062634989200863</v>
      </c>
      <c r="M109" s="168">
        <v>12.311015118790497</v>
      </c>
    </row>
    <row r="110" spans="2:13" x14ac:dyDescent="0.2">
      <c r="B110" s="189" t="s">
        <v>268</v>
      </c>
      <c r="C110" s="170">
        <v>671</v>
      </c>
      <c r="D110" s="168">
        <v>22.503725782414307</v>
      </c>
      <c r="E110" s="168">
        <v>33.532041728763041</v>
      </c>
      <c r="F110" s="168">
        <v>35.618479880774963</v>
      </c>
      <c r="G110" s="168">
        <v>7.1535022354694489</v>
      </c>
      <c r="H110" s="168">
        <v>1.1922503725782414</v>
      </c>
      <c r="I110" s="168">
        <v>51.117734724292099</v>
      </c>
      <c r="J110" s="168">
        <v>11.028315946348734</v>
      </c>
      <c r="K110" s="168">
        <v>10.879284649776453</v>
      </c>
      <c r="L110" s="168">
        <v>16.542473919523101</v>
      </c>
      <c r="M110" s="168">
        <v>10.432190760059612</v>
      </c>
    </row>
    <row r="111" spans="2:13" x14ac:dyDescent="0.2">
      <c r="B111" s="189" t="s">
        <v>269</v>
      </c>
      <c r="C111" s="170">
        <v>2369</v>
      </c>
      <c r="D111" s="168">
        <v>18.488813845504431</v>
      </c>
      <c r="E111" s="168">
        <v>28.324187420852681</v>
      </c>
      <c r="F111" s="168">
        <v>40.10130856901646</v>
      </c>
      <c r="G111" s="168">
        <v>8.8644997889404813</v>
      </c>
      <c r="H111" s="168">
        <v>4.2211903756859437</v>
      </c>
      <c r="I111" s="168">
        <v>54.031236808780079</v>
      </c>
      <c r="J111" s="168">
        <v>9.2444069227522156</v>
      </c>
      <c r="K111" s="168">
        <v>10.341916420430561</v>
      </c>
      <c r="L111" s="168">
        <v>13.50780920219502</v>
      </c>
      <c r="M111" s="168">
        <v>12.874630645842128</v>
      </c>
    </row>
    <row r="112" spans="2:13" x14ac:dyDescent="0.2">
      <c r="B112" s="189" t="s">
        <v>551</v>
      </c>
      <c r="C112" s="170">
        <v>873</v>
      </c>
      <c r="D112" s="168">
        <v>21.534936998854526</v>
      </c>
      <c r="E112" s="168">
        <v>29.209621993127147</v>
      </c>
      <c r="F112" s="168">
        <v>39.060710194730817</v>
      </c>
      <c r="G112" s="168">
        <v>9.0492554410080182</v>
      </c>
      <c r="H112" s="168">
        <v>1.1454753722794959</v>
      </c>
      <c r="I112" s="168">
        <v>55.555555555555557</v>
      </c>
      <c r="J112" s="168">
        <v>9.0492554410080182</v>
      </c>
      <c r="K112" s="168">
        <v>10.194730813287514</v>
      </c>
      <c r="L112" s="168">
        <v>12.714776632302405</v>
      </c>
      <c r="M112" s="168">
        <v>12.485681557846506</v>
      </c>
    </row>
    <row r="113" spans="2:13" x14ac:dyDescent="0.2">
      <c r="B113" s="189" t="s">
        <v>270</v>
      </c>
      <c r="C113" s="170">
        <v>1617</v>
      </c>
      <c r="D113" s="168">
        <v>22.696351267779839</v>
      </c>
      <c r="E113" s="168">
        <v>29.128014842300555</v>
      </c>
      <c r="F113" s="168">
        <v>35.683364254792828</v>
      </c>
      <c r="G113" s="168">
        <v>9.5238095238095237</v>
      </c>
      <c r="H113" s="168">
        <v>2.968460111317254</v>
      </c>
      <c r="I113" s="168">
        <v>57.266542980828696</v>
      </c>
      <c r="J113" s="168">
        <v>7.1737786023500307</v>
      </c>
      <c r="K113" s="168">
        <v>8.8435374149659864</v>
      </c>
      <c r="L113" s="168">
        <v>14.100185528756958</v>
      </c>
      <c r="M113" s="168">
        <v>12.61595547309833</v>
      </c>
    </row>
    <row r="114" spans="2:13" x14ac:dyDescent="0.2">
      <c r="B114" s="189" t="s">
        <v>271</v>
      </c>
      <c r="C114" s="170">
        <v>760</v>
      </c>
      <c r="D114" s="168">
        <v>19.078947368421051</v>
      </c>
      <c r="E114" s="168">
        <v>29.736842105263158</v>
      </c>
      <c r="F114" s="168">
        <v>40.921052631578945</v>
      </c>
      <c r="G114" s="168">
        <v>8.2894736842105257</v>
      </c>
      <c r="H114" s="168">
        <v>1.9736842105263157</v>
      </c>
      <c r="I114" s="168">
        <v>51.05263157894737</v>
      </c>
      <c r="J114" s="168">
        <v>7.7631578947368425</v>
      </c>
      <c r="K114" s="168">
        <v>9.3421052631578956</v>
      </c>
      <c r="L114" s="168">
        <v>16.842105263157894</v>
      </c>
      <c r="M114" s="168">
        <v>15</v>
      </c>
    </row>
    <row r="115" spans="2:13" x14ac:dyDescent="0.2">
      <c r="B115" s="188" t="s">
        <v>272</v>
      </c>
      <c r="C115" s="169">
        <v>16964</v>
      </c>
      <c r="D115" s="167">
        <v>19.022636170714453</v>
      </c>
      <c r="E115" s="167">
        <v>25.648431973591133</v>
      </c>
      <c r="F115" s="167">
        <v>38.947182268332938</v>
      </c>
      <c r="G115" s="167">
        <v>11.606932327281301</v>
      </c>
      <c r="H115" s="167">
        <v>4.7748172600801695</v>
      </c>
      <c r="I115" s="167">
        <v>51.084649846734258</v>
      </c>
      <c r="J115" s="167">
        <v>9.1605753360056585</v>
      </c>
      <c r="K115" s="167">
        <v>10.227540674369253</v>
      </c>
      <c r="L115" s="167">
        <v>14.790143834001414</v>
      </c>
      <c r="M115" s="167">
        <v>14.737090308889412</v>
      </c>
    </row>
    <row r="116" spans="2:13" x14ac:dyDescent="0.2">
      <c r="B116" s="189" t="s">
        <v>273</v>
      </c>
      <c r="C116" s="170">
        <v>1212</v>
      </c>
      <c r="D116" s="168">
        <v>18.399339933993399</v>
      </c>
      <c r="E116" s="168">
        <v>23.67986798679868</v>
      </c>
      <c r="F116" s="168">
        <v>41.419141914191421</v>
      </c>
      <c r="G116" s="168">
        <v>12.706270627062706</v>
      </c>
      <c r="H116" s="168">
        <v>3.7953795379537953</v>
      </c>
      <c r="I116" s="168">
        <v>53.877887788778878</v>
      </c>
      <c r="J116" s="168">
        <v>9.5709570957095718</v>
      </c>
      <c r="K116" s="168">
        <v>9.9834983498349832</v>
      </c>
      <c r="L116" s="168">
        <v>12.953795379537954</v>
      </c>
      <c r="M116" s="168">
        <v>13.613861386138614</v>
      </c>
    </row>
    <row r="117" spans="2:13" x14ac:dyDescent="0.2">
      <c r="B117" s="189" t="s">
        <v>274</v>
      </c>
      <c r="C117" s="170">
        <v>2912</v>
      </c>
      <c r="D117" s="168">
        <v>20.123626373626372</v>
      </c>
      <c r="E117" s="168">
        <v>26.854395604395606</v>
      </c>
      <c r="F117" s="168">
        <v>36.195054945054942</v>
      </c>
      <c r="G117" s="168">
        <v>11.298076923076923</v>
      </c>
      <c r="H117" s="168">
        <v>5.5288461538461542</v>
      </c>
      <c r="I117" s="168">
        <v>55.700549450549453</v>
      </c>
      <c r="J117" s="168">
        <v>9.1689560439560438</v>
      </c>
      <c r="K117" s="168">
        <v>8.6195054945054945</v>
      </c>
      <c r="L117" s="168">
        <v>12.946428571428571</v>
      </c>
      <c r="M117" s="168">
        <v>13.56456043956044</v>
      </c>
    </row>
    <row r="118" spans="2:13" x14ac:dyDescent="0.2">
      <c r="B118" s="223" t="s">
        <v>275</v>
      </c>
      <c r="C118" s="170">
        <v>555</v>
      </c>
      <c r="D118" s="168">
        <v>19.81981981981982</v>
      </c>
      <c r="E118" s="168">
        <v>26.486486486486488</v>
      </c>
      <c r="F118" s="168">
        <v>40</v>
      </c>
      <c r="G118" s="168">
        <v>9.3693693693693696</v>
      </c>
      <c r="H118" s="168">
        <v>4.3243243243243246</v>
      </c>
      <c r="I118" s="168">
        <v>40.36036036036036</v>
      </c>
      <c r="J118" s="168">
        <v>10.63063063063063</v>
      </c>
      <c r="K118" s="168">
        <v>11.891891891891891</v>
      </c>
      <c r="L118" s="168">
        <v>21.261261261261261</v>
      </c>
      <c r="M118" s="168">
        <v>15.855855855855856</v>
      </c>
    </row>
    <row r="119" spans="2:13" x14ac:dyDescent="0.2">
      <c r="B119" s="189" t="s">
        <v>276</v>
      </c>
      <c r="C119" s="170">
        <v>1967</v>
      </c>
      <c r="D119" s="168">
        <v>18.962887646161668</v>
      </c>
      <c r="E119" s="168">
        <v>22.928317234367057</v>
      </c>
      <c r="F119" s="168">
        <v>36.29893238434164</v>
      </c>
      <c r="G119" s="168">
        <v>13.624809354346722</v>
      </c>
      <c r="H119" s="168">
        <v>8.185053380782918</v>
      </c>
      <c r="I119" s="168">
        <v>47.941026944585666</v>
      </c>
      <c r="J119" s="168">
        <v>8.5409252669039137</v>
      </c>
      <c r="K119" s="168">
        <v>11.133706151499746</v>
      </c>
      <c r="L119" s="168">
        <v>14.133197763091001</v>
      </c>
      <c r="M119" s="168">
        <v>18.251143873919673</v>
      </c>
    </row>
    <row r="120" spans="2:13" x14ac:dyDescent="0.2">
      <c r="B120" s="189" t="s">
        <v>277</v>
      </c>
      <c r="C120" s="170">
        <v>769</v>
      </c>
      <c r="D120" s="168">
        <v>18.075422626788036</v>
      </c>
      <c r="E120" s="168">
        <v>23.407022106631988</v>
      </c>
      <c r="F120" s="168">
        <v>39.921976592977892</v>
      </c>
      <c r="G120" s="168">
        <v>12.48374512353706</v>
      </c>
      <c r="H120" s="168">
        <v>6.1118335500650192</v>
      </c>
      <c r="I120" s="168">
        <v>49.804941482444733</v>
      </c>
      <c r="J120" s="168">
        <v>8.8426527958387524</v>
      </c>
      <c r="K120" s="168">
        <v>10.663198959687906</v>
      </c>
      <c r="L120" s="168">
        <v>14.694408322496749</v>
      </c>
      <c r="M120" s="168">
        <v>15.994798439531859</v>
      </c>
    </row>
    <row r="121" spans="2:13" x14ac:dyDescent="0.2">
      <c r="B121" s="189" t="s">
        <v>278</v>
      </c>
      <c r="C121" s="170">
        <v>513</v>
      </c>
      <c r="D121" s="168">
        <v>20.077972709551656</v>
      </c>
      <c r="E121" s="168">
        <v>30.799220272904485</v>
      </c>
      <c r="F121" s="168">
        <v>38.40155945419103</v>
      </c>
      <c r="G121" s="168">
        <v>8.3820662768031191</v>
      </c>
      <c r="H121" s="168">
        <v>2.3391812865497075</v>
      </c>
      <c r="I121" s="168">
        <v>54.191033138401558</v>
      </c>
      <c r="J121" s="168">
        <v>10.331384015594542</v>
      </c>
      <c r="K121" s="168">
        <v>9.9415204678362574</v>
      </c>
      <c r="L121" s="168">
        <v>12.865497076023392</v>
      </c>
      <c r="M121" s="168">
        <v>12.670565302144249</v>
      </c>
    </row>
    <row r="122" spans="2:13" x14ac:dyDescent="0.2">
      <c r="B122" s="189" t="s">
        <v>279</v>
      </c>
      <c r="C122" s="170">
        <v>1409</v>
      </c>
      <c r="D122" s="168">
        <v>19.375443577004969</v>
      </c>
      <c r="E122" s="168">
        <v>24.059616749467708</v>
      </c>
      <c r="F122" s="168">
        <v>41.163946061036199</v>
      </c>
      <c r="G122" s="168">
        <v>11.000709723207949</v>
      </c>
      <c r="H122" s="168">
        <v>4.4002838892831795</v>
      </c>
      <c r="I122" s="168">
        <v>47.480482611781405</v>
      </c>
      <c r="J122" s="168">
        <v>8.800567778566359</v>
      </c>
      <c r="K122" s="168">
        <v>11.000709723207949</v>
      </c>
      <c r="L122" s="168">
        <v>17.388218594748047</v>
      </c>
      <c r="M122" s="168">
        <v>15.330021291696239</v>
      </c>
    </row>
    <row r="123" spans="2:13" x14ac:dyDescent="0.2">
      <c r="B123" s="189" t="s">
        <v>280</v>
      </c>
      <c r="C123" s="170">
        <v>1749</v>
      </c>
      <c r="D123" s="168">
        <v>21.097770154373929</v>
      </c>
      <c r="E123" s="168">
        <v>25.271583762149799</v>
      </c>
      <c r="F123" s="168">
        <v>39.679817038307604</v>
      </c>
      <c r="G123" s="168">
        <v>10.062893081761006</v>
      </c>
      <c r="H123" s="168">
        <v>3.8879359634076613</v>
      </c>
      <c r="I123" s="168">
        <v>52.601486563750711</v>
      </c>
      <c r="J123" s="168">
        <v>7.8330474556889653</v>
      </c>
      <c r="K123" s="168">
        <v>9.7198399085191536</v>
      </c>
      <c r="L123" s="168">
        <v>14.465408805031446</v>
      </c>
      <c r="M123" s="168">
        <v>15.380217267009719</v>
      </c>
    </row>
    <row r="124" spans="2:13" x14ac:dyDescent="0.2">
      <c r="B124" s="189" t="s">
        <v>463</v>
      </c>
      <c r="C124" s="170">
        <v>1096</v>
      </c>
      <c r="D124" s="168">
        <v>18.156934306569344</v>
      </c>
      <c r="E124" s="168">
        <v>28.193430656934307</v>
      </c>
      <c r="F124" s="168">
        <v>39.689781021897808</v>
      </c>
      <c r="G124" s="168">
        <v>9.945255474452555</v>
      </c>
      <c r="H124" s="168">
        <v>4.0145985401459852</v>
      </c>
      <c r="I124" s="168">
        <v>44.799270072992698</v>
      </c>
      <c r="J124" s="168">
        <v>9.6715328467153281</v>
      </c>
      <c r="K124" s="168">
        <v>11.770072992700729</v>
      </c>
      <c r="L124" s="168">
        <v>17.062043795620436</v>
      </c>
      <c r="M124" s="168">
        <v>16.697080291970803</v>
      </c>
    </row>
    <row r="125" spans="2:13" x14ac:dyDescent="0.2">
      <c r="B125" s="189" t="s">
        <v>552</v>
      </c>
      <c r="C125" s="170">
        <v>505</v>
      </c>
      <c r="D125" s="168">
        <v>14.851485148514852</v>
      </c>
      <c r="E125" s="168">
        <v>25.940594059405942</v>
      </c>
      <c r="F125" s="168">
        <v>42.574257425742573</v>
      </c>
      <c r="G125" s="168">
        <v>12.871287128712872</v>
      </c>
      <c r="H125" s="168">
        <v>3.7623762376237622</v>
      </c>
      <c r="I125" s="168">
        <v>51.881188118811885</v>
      </c>
      <c r="J125" s="168">
        <v>8.5148514851485153</v>
      </c>
      <c r="K125" s="168">
        <v>9.5049504950495045</v>
      </c>
      <c r="L125" s="168">
        <v>12.475247524752476</v>
      </c>
      <c r="M125" s="168">
        <v>17.623762376237625</v>
      </c>
    </row>
    <row r="126" spans="2:13" x14ac:dyDescent="0.2">
      <c r="B126" s="189" t="s">
        <v>281</v>
      </c>
      <c r="C126" s="170">
        <v>311</v>
      </c>
      <c r="D126" s="168">
        <v>20.257234726688104</v>
      </c>
      <c r="E126" s="168">
        <v>24.437299035369776</v>
      </c>
      <c r="F126" s="168">
        <v>37.942122186495176</v>
      </c>
      <c r="G126" s="168">
        <v>12.218649517684888</v>
      </c>
      <c r="H126" s="168">
        <v>5.144694533762058</v>
      </c>
      <c r="I126" s="168">
        <v>46.623794212218648</v>
      </c>
      <c r="J126" s="168">
        <v>9.6463022508038581</v>
      </c>
      <c r="K126" s="168">
        <v>11.57556270096463</v>
      </c>
      <c r="L126" s="168">
        <v>20.578778135048232</v>
      </c>
      <c r="M126" s="168">
        <v>11.57556270096463</v>
      </c>
    </row>
    <row r="127" spans="2:13" x14ac:dyDescent="0.2">
      <c r="B127" s="189" t="s">
        <v>282</v>
      </c>
      <c r="C127" s="170">
        <v>505</v>
      </c>
      <c r="D127" s="168">
        <v>17.227722772277229</v>
      </c>
      <c r="E127" s="168">
        <v>23.762376237623762</v>
      </c>
      <c r="F127" s="168">
        <v>40.792079207920793</v>
      </c>
      <c r="G127" s="168">
        <v>14.257425742574258</v>
      </c>
      <c r="H127" s="168">
        <v>3.9603960396039604</v>
      </c>
      <c r="I127" s="168">
        <v>45.148514851485146</v>
      </c>
      <c r="J127" s="168">
        <v>8.5148514851485153</v>
      </c>
      <c r="K127" s="168">
        <v>10.891089108910892</v>
      </c>
      <c r="L127" s="168">
        <v>18.019801980198018</v>
      </c>
      <c r="M127" s="168">
        <v>17.425742574257427</v>
      </c>
    </row>
    <row r="128" spans="2:13" x14ac:dyDescent="0.2">
      <c r="B128" s="189" t="s">
        <v>283</v>
      </c>
      <c r="C128" s="170">
        <v>401</v>
      </c>
      <c r="D128" s="168">
        <v>22.443890274314214</v>
      </c>
      <c r="E128" s="168">
        <v>28.927680798004989</v>
      </c>
      <c r="F128" s="168">
        <v>36.907730673316706</v>
      </c>
      <c r="G128" s="168">
        <v>10.473815461346634</v>
      </c>
      <c r="H128" s="168">
        <v>1.2468827930174564</v>
      </c>
      <c r="I128" s="168">
        <v>53.615960099750623</v>
      </c>
      <c r="J128" s="168">
        <v>9.7256857855361591</v>
      </c>
      <c r="K128" s="168">
        <v>8.728179551122194</v>
      </c>
      <c r="L128" s="168">
        <v>17.456359102244388</v>
      </c>
      <c r="M128" s="168">
        <v>10.473815461346634</v>
      </c>
    </row>
    <row r="129" spans="2:13" x14ac:dyDescent="0.2">
      <c r="B129" s="189" t="s">
        <v>284</v>
      </c>
      <c r="C129" s="170">
        <v>769</v>
      </c>
      <c r="D129" s="168">
        <v>14.82444733420026</v>
      </c>
      <c r="E129" s="168">
        <v>27.178153446033811</v>
      </c>
      <c r="F129" s="168">
        <v>42.262678803641094</v>
      </c>
      <c r="G129" s="168">
        <v>11.833550065019505</v>
      </c>
      <c r="H129" s="168">
        <v>3.9011703511053315</v>
      </c>
      <c r="I129" s="168">
        <v>57.477243172951887</v>
      </c>
      <c r="J129" s="168">
        <v>7.9323797139141741</v>
      </c>
      <c r="K129" s="168">
        <v>11.313394018205461</v>
      </c>
      <c r="L129" s="168">
        <v>14.304291287386215</v>
      </c>
      <c r="M129" s="168">
        <v>8.9726918075422635</v>
      </c>
    </row>
    <row r="130" spans="2:13" x14ac:dyDescent="0.2">
      <c r="B130" s="189" t="s">
        <v>285</v>
      </c>
      <c r="C130" s="170">
        <v>441</v>
      </c>
      <c r="D130" s="168">
        <v>15.646258503401361</v>
      </c>
      <c r="E130" s="168">
        <v>23.129251700680271</v>
      </c>
      <c r="F130" s="168">
        <v>41.269841269841272</v>
      </c>
      <c r="G130" s="168">
        <v>13.832199546485262</v>
      </c>
      <c r="H130" s="168">
        <v>6.1224489795918364</v>
      </c>
      <c r="I130" s="168">
        <v>53.51473922902494</v>
      </c>
      <c r="J130" s="168">
        <v>10.204081632653061</v>
      </c>
      <c r="K130" s="168">
        <v>9.7505668934240362</v>
      </c>
      <c r="L130" s="168">
        <v>14.285714285714286</v>
      </c>
      <c r="M130" s="168">
        <v>12.244897959183673</v>
      </c>
    </row>
    <row r="131" spans="2:13" x14ac:dyDescent="0.2">
      <c r="B131" s="189" t="s">
        <v>286</v>
      </c>
      <c r="C131" s="170">
        <v>687</v>
      </c>
      <c r="D131" s="168">
        <v>19.50509461426492</v>
      </c>
      <c r="E131" s="168">
        <v>26.78311499272198</v>
      </c>
      <c r="F131" s="168">
        <v>35.807860262008731</v>
      </c>
      <c r="G131" s="168">
        <v>13.682678311499272</v>
      </c>
      <c r="H131" s="168">
        <v>4.2212518195050945</v>
      </c>
      <c r="I131" s="168">
        <v>52.401746724890828</v>
      </c>
      <c r="J131" s="168">
        <v>10.334788937409025</v>
      </c>
      <c r="K131" s="168">
        <v>10.91703056768559</v>
      </c>
      <c r="L131" s="168">
        <v>12.663755458515285</v>
      </c>
      <c r="M131" s="168">
        <v>13.682678311499272</v>
      </c>
    </row>
    <row r="132" spans="2:13" x14ac:dyDescent="0.2">
      <c r="B132" s="189" t="s">
        <v>287</v>
      </c>
      <c r="C132" s="170">
        <v>535</v>
      </c>
      <c r="D132" s="168">
        <v>20.747663551401867</v>
      </c>
      <c r="E132" s="168">
        <v>25.046728971962615</v>
      </c>
      <c r="F132" s="168">
        <v>39.252336448598129</v>
      </c>
      <c r="G132" s="168">
        <v>11.214953271028037</v>
      </c>
      <c r="H132" s="168">
        <v>3.7383177570093458</v>
      </c>
      <c r="I132" s="168">
        <v>45.794392523364486</v>
      </c>
      <c r="J132" s="168">
        <v>12.897196261682243</v>
      </c>
      <c r="K132" s="168">
        <v>10.841121495327103</v>
      </c>
      <c r="L132" s="168">
        <v>14.018691588785046</v>
      </c>
      <c r="M132" s="168">
        <v>16.44859813084112</v>
      </c>
    </row>
    <row r="133" spans="2:13" x14ac:dyDescent="0.2">
      <c r="B133" s="189" t="s">
        <v>288</v>
      </c>
      <c r="C133" s="170">
        <v>628</v>
      </c>
      <c r="D133" s="168">
        <v>17.356687898089174</v>
      </c>
      <c r="E133" s="168">
        <v>29.29936305732484</v>
      </c>
      <c r="F133" s="168">
        <v>40.127388535031848</v>
      </c>
      <c r="G133" s="168">
        <v>10.19108280254777</v>
      </c>
      <c r="H133" s="168">
        <v>3.0254777070063694</v>
      </c>
      <c r="I133" s="168">
        <v>55.732484076433124</v>
      </c>
      <c r="J133" s="168">
        <v>8.7579617834394909</v>
      </c>
      <c r="K133" s="168">
        <v>8.598726114649681</v>
      </c>
      <c r="L133" s="168">
        <v>14.64968152866242</v>
      </c>
      <c r="M133" s="168">
        <v>12.261146496815286</v>
      </c>
    </row>
    <row r="134" spans="2:13" x14ac:dyDescent="0.2">
      <c r="B134" s="188" t="s">
        <v>289</v>
      </c>
      <c r="C134" s="169">
        <v>31620</v>
      </c>
      <c r="D134" s="167">
        <v>18.409234661606579</v>
      </c>
      <c r="E134" s="167">
        <v>25.793801391524351</v>
      </c>
      <c r="F134" s="167">
        <v>38.22896900695762</v>
      </c>
      <c r="G134" s="167">
        <v>11.872232764073372</v>
      </c>
      <c r="H134" s="167">
        <v>5.6957621758380768</v>
      </c>
      <c r="I134" s="167">
        <v>52.169512966476915</v>
      </c>
      <c r="J134" s="167">
        <v>9.225173940543959</v>
      </c>
      <c r="K134" s="167">
        <v>9.6995572422517391</v>
      </c>
      <c r="L134" s="167">
        <v>13.466160657811512</v>
      </c>
      <c r="M134" s="167">
        <v>15.439595192915876</v>
      </c>
    </row>
    <row r="135" spans="2:13" x14ac:dyDescent="0.2">
      <c r="B135" s="189" t="s">
        <v>290</v>
      </c>
      <c r="C135" s="170">
        <v>361</v>
      </c>
      <c r="D135" s="168">
        <v>14.404432132963988</v>
      </c>
      <c r="E135" s="168">
        <v>24.930747922437675</v>
      </c>
      <c r="F135" s="168">
        <v>37.67313019390582</v>
      </c>
      <c r="G135" s="168">
        <v>15.789473684210526</v>
      </c>
      <c r="H135" s="168">
        <v>7.2022160664819941</v>
      </c>
      <c r="I135" s="168">
        <v>43.767313019390585</v>
      </c>
      <c r="J135" s="168">
        <v>10.803324099722992</v>
      </c>
      <c r="K135" s="168">
        <v>10.526315789473685</v>
      </c>
      <c r="L135" s="168">
        <v>14.681440443213296</v>
      </c>
      <c r="M135" s="168">
        <v>20.221606648199447</v>
      </c>
    </row>
    <row r="136" spans="2:13" x14ac:dyDescent="0.2">
      <c r="B136" s="189" t="s">
        <v>291</v>
      </c>
      <c r="C136" s="170">
        <v>782</v>
      </c>
      <c r="D136" s="168">
        <v>20.204603580562662</v>
      </c>
      <c r="E136" s="168">
        <v>25.959079283887469</v>
      </c>
      <c r="F136" s="168">
        <v>35.421994884910482</v>
      </c>
      <c r="G136" s="168">
        <v>12.276214833759591</v>
      </c>
      <c r="H136" s="168">
        <v>6.1381074168797953</v>
      </c>
      <c r="I136" s="168">
        <v>47.314578005115088</v>
      </c>
      <c r="J136" s="168">
        <v>8.4398976982097178</v>
      </c>
      <c r="K136" s="168">
        <v>10.358056265984654</v>
      </c>
      <c r="L136" s="168">
        <v>16.496163682864449</v>
      </c>
      <c r="M136" s="168">
        <v>17.391304347826086</v>
      </c>
    </row>
    <row r="137" spans="2:13" x14ac:dyDescent="0.2">
      <c r="B137" s="223" t="s">
        <v>292</v>
      </c>
      <c r="C137" s="170">
        <v>396</v>
      </c>
      <c r="D137" s="168">
        <v>15.151515151515152</v>
      </c>
      <c r="E137" s="168">
        <v>25.505050505050505</v>
      </c>
      <c r="F137" s="168">
        <v>41.161616161616159</v>
      </c>
      <c r="G137" s="168">
        <v>13.383838383838384</v>
      </c>
      <c r="H137" s="168">
        <v>4.7979797979797976</v>
      </c>
      <c r="I137" s="168">
        <v>55.555555555555557</v>
      </c>
      <c r="J137" s="168">
        <v>9.5959595959595951</v>
      </c>
      <c r="K137" s="168">
        <v>11.868686868686869</v>
      </c>
      <c r="L137" s="168">
        <v>13.888888888888889</v>
      </c>
      <c r="M137" s="168">
        <v>9.0909090909090917</v>
      </c>
    </row>
    <row r="138" spans="2:13" x14ac:dyDescent="0.2">
      <c r="B138" s="189" t="s">
        <v>293</v>
      </c>
      <c r="C138" s="170">
        <v>1123</v>
      </c>
      <c r="D138" s="168">
        <v>16.117542297417632</v>
      </c>
      <c r="E138" s="168">
        <v>25.556544968833482</v>
      </c>
      <c r="F138" s="168">
        <v>41.763134461264471</v>
      </c>
      <c r="G138" s="168">
        <v>12.021371326803205</v>
      </c>
      <c r="H138" s="168">
        <v>4.5414069456812109</v>
      </c>
      <c r="I138" s="168">
        <v>51.024042742653606</v>
      </c>
      <c r="J138" s="168">
        <v>10.151380231522706</v>
      </c>
      <c r="K138" s="168">
        <v>10.774710596616206</v>
      </c>
      <c r="L138" s="168">
        <v>15.227070347284061</v>
      </c>
      <c r="M138" s="168">
        <v>12.822796081923419</v>
      </c>
    </row>
    <row r="139" spans="2:13" x14ac:dyDescent="0.2">
      <c r="B139" s="189" t="s">
        <v>294</v>
      </c>
      <c r="C139" s="170">
        <v>736</v>
      </c>
      <c r="D139" s="168">
        <v>17.255434782608695</v>
      </c>
      <c r="E139" s="168">
        <v>22.961956521739129</v>
      </c>
      <c r="F139" s="168">
        <v>38.586956521739133</v>
      </c>
      <c r="G139" s="168">
        <v>15.760869565217391</v>
      </c>
      <c r="H139" s="168">
        <v>5.4347826086956523</v>
      </c>
      <c r="I139" s="168">
        <v>47.554347826086953</v>
      </c>
      <c r="J139" s="168">
        <v>7.6086956521739131</v>
      </c>
      <c r="K139" s="168">
        <v>11.277173913043478</v>
      </c>
      <c r="L139" s="168">
        <v>15.489130434782609</v>
      </c>
      <c r="M139" s="168">
        <v>18.070652173913043</v>
      </c>
    </row>
    <row r="140" spans="2:13" x14ac:dyDescent="0.2">
      <c r="B140" s="189" t="s">
        <v>295</v>
      </c>
      <c r="C140" s="170">
        <v>1084</v>
      </c>
      <c r="D140" s="168">
        <v>22.693726937269371</v>
      </c>
      <c r="E140" s="168">
        <v>28.782287822878228</v>
      </c>
      <c r="F140" s="168">
        <v>35.239852398523986</v>
      </c>
      <c r="G140" s="168">
        <v>9.5018450184501848</v>
      </c>
      <c r="H140" s="168">
        <v>3.7822878228782288</v>
      </c>
      <c r="I140" s="168">
        <v>57.38007380073801</v>
      </c>
      <c r="J140" s="168">
        <v>7.9335793357933575</v>
      </c>
      <c r="K140" s="168">
        <v>9.5940959409594093</v>
      </c>
      <c r="L140" s="168">
        <v>12.177121771217712</v>
      </c>
      <c r="M140" s="168">
        <v>12.915129151291513</v>
      </c>
    </row>
    <row r="141" spans="2:13" x14ac:dyDescent="0.2">
      <c r="B141" s="189" t="s">
        <v>296</v>
      </c>
      <c r="C141" s="170">
        <v>466</v>
      </c>
      <c r="D141" s="168">
        <v>19.957081545064376</v>
      </c>
      <c r="E141" s="168">
        <v>30.901287553648068</v>
      </c>
      <c r="F141" s="168">
        <v>39.055793991416309</v>
      </c>
      <c r="G141" s="168">
        <v>8.5836909871244629</v>
      </c>
      <c r="H141" s="168">
        <v>1.502145922746781</v>
      </c>
      <c r="I141" s="168">
        <v>51.072961373390555</v>
      </c>
      <c r="J141" s="168">
        <v>12.660944206008583</v>
      </c>
      <c r="K141" s="168">
        <v>11.158798283261802</v>
      </c>
      <c r="L141" s="168">
        <v>14.163090128755364</v>
      </c>
      <c r="M141" s="168">
        <v>10.944206008583691</v>
      </c>
    </row>
    <row r="142" spans="2:13" x14ac:dyDescent="0.2">
      <c r="B142" s="189" t="s">
        <v>297</v>
      </c>
      <c r="C142" s="170">
        <v>527</v>
      </c>
      <c r="D142" s="168">
        <v>16.888045540796963</v>
      </c>
      <c r="E142" s="168">
        <v>26.185958254269451</v>
      </c>
      <c r="F142" s="168">
        <v>42.314990512333964</v>
      </c>
      <c r="G142" s="168">
        <v>11.954459203036054</v>
      </c>
      <c r="H142" s="168">
        <v>2.6565464895635675</v>
      </c>
      <c r="I142" s="168">
        <v>56.166982922201136</v>
      </c>
      <c r="J142" s="168">
        <v>8.1593927893738147</v>
      </c>
      <c r="K142" s="168">
        <v>9.8671726755218216</v>
      </c>
      <c r="L142" s="168">
        <v>12.333965844402277</v>
      </c>
      <c r="M142" s="168">
        <v>13.472485768500949</v>
      </c>
    </row>
    <row r="143" spans="2:13" x14ac:dyDescent="0.2">
      <c r="B143" s="189" t="s">
        <v>553</v>
      </c>
      <c r="C143" s="170">
        <v>581</v>
      </c>
      <c r="D143" s="168">
        <v>16.179001721170398</v>
      </c>
      <c r="E143" s="168">
        <v>29.432013769363166</v>
      </c>
      <c r="F143" s="168">
        <v>42.512908777969017</v>
      </c>
      <c r="G143" s="168">
        <v>9.1222030981067128</v>
      </c>
      <c r="H143" s="168">
        <v>2.7538726333907055</v>
      </c>
      <c r="I143" s="168">
        <v>56.282271944922549</v>
      </c>
      <c r="J143" s="168">
        <v>10.327022375215146</v>
      </c>
      <c r="K143" s="168">
        <v>8.6058519793459549</v>
      </c>
      <c r="L143" s="168">
        <v>13.769363166953529</v>
      </c>
      <c r="M143" s="168">
        <v>11.015490533562822</v>
      </c>
    </row>
    <row r="144" spans="2:13" x14ac:dyDescent="0.2">
      <c r="B144" s="189" t="s">
        <v>298</v>
      </c>
      <c r="C144" s="170">
        <v>2022</v>
      </c>
      <c r="D144" s="168">
        <v>17.606330365974284</v>
      </c>
      <c r="E144" s="168">
        <v>29.327398615232443</v>
      </c>
      <c r="F144" s="168">
        <v>39.564787339268051</v>
      </c>
      <c r="G144" s="168">
        <v>9.6439169139465868</v>
      </c>
      <c r="H144" s="168">
        <v>3.857566765578635</v>
      </c>
      <c r="I144" s="168">
        <v>58.308605341246292</v>
      </c>
      <c r="J144" s="168">
        <v>10.138476755687439</v>
      </c>
      <c r="K144" s="168">
        <v>8.5064292779426314</v>
      </c>
      <c r="L144" s="168">
        <v>11.275964391691394</v>
      </c>
      <c r="M144" s="168">
        <v>11.770524233432246</v>
      </c>
    </row>
    <row r="145" spans="2:13" x14ac:dyDescent="0.2">
      <c r="B145" s="189" t="s">
        <v>299</v>
      </c>
      <c r="C145" s="170">
        <v>5298</v>
      </c>
      <c r="D145" s="168">
        <v>19.932049830124576</v>
      </c>
      <c r="E145" s="168">
        <v>26.745941864854661</v>
      </c>
      <c r="F145" s="168">
        <v>36.051340128350319</v>
      </c>
      <c r="G145" s="168">
        <v>10.607776519441298</v>
      </c>
      <c r="H145" s="168">
        <v>6.6628916572291432</v>
      </c>
      <c r="I145" s="168">
        <v>55.832389580973953</v>
      </c>
      <c r="J145" s="168">
        <v>9.494148735371839</v>
      </c>
      <c r="K145" s="168">
        <v>8.7580218950547373</v>
      </c>
      <c r="L145" s="168">
        <v>11.098527746319366</v>
      </c>
      <c r="M145" s="168">
        <v>14.816912042280105</v>
      </c>
    </row>
    <row r="146" spans="2:13" x14ac:dyDescent="0.2">
      <c r="B146" s="189" t="s">
        <v>300</v>
      </c>
      <c r="C146" s="170">
        <v>1560</v>
      </c>
      <c r="D146" s="168">
        <v>17.5</v>
      </c>
      <c r="E146" s="168">
        <v>22.5</v>
      </c>
      <c r="F146" s="168">
        <v>36.858974358974358</v>
      </c>
      <c r="G146" s="168">
        <v>12.628205128205128</v>
      </c>
      <c r="H146" s="168">
        <v>10.512820512820513</v>
      </c>
      <c r="I146" s="168">
        <v>45.192307692307693</v>
      </c>
      <c r="J146" s="168">
        <v>9.3589743589743595</v>
      </c>
      <c r="K146" s="168">
        <v>10.833333333333334</v>
      </c>
      <c r="L146" s="168">
        <v>14.358974358974359</v>
      </c>
      <c r="M146" s="168">
        <v>20.256410256410255</v>
      </c>
    </row>
    <row r="147" spans="2:13" x14ac:dyDescent="0.2">
      <c r="B147" s="189" t="s">
        <v>301</v>
      </c>
      <c r="C147" s="170">
        <v>2328</v>
      </c>
      <c r="D147" s="168">
        <v>18.170103092783506</v>
      </c>
      <c r="E147" s="168">
        <v>25</v>
      </c>
      <c r="F147" s="168">
        <v>36.254295532646047</v>
      </c>
      <c r="G147" s="168">
        <v>13.101374570446735</v>
      </c>
      <c r="H147" s="168">
        <v>7.4742268041237114</v>
      </c>
      <c r="I147" s="168">
        <v>49.140893470790381</v>
      </c>
      <c r="J147" s="168">
        <v>8.3762886597938149</v>
      </c>
      <c r="K147" s="168">
        <v>10.094501718213058</v>
      </c>
      <c r="L147" s="168">
        <v>13.015463917525773</v>
      </c>
      <c r="M147" s="168">
        <v>19.372852233676976</v>
      </c>
    </row>
    <row r="148" spans="2:13" x14ac:dyDescent="0.2">
      <c r="B148" s="189" t="s">
        <v>302</v>
      </c>
      <c r="C148" s="170">
        <v>2324</v>
      </c>
      <c r="D148" s="168">
        <v>20.654044750430291</v>
      </c>
      <c r="E148" s="168">
        <v>25.516351118760756</v>
      </c>
      <c r="F148" s="168">
        <v>37.736660929432013</v>
      </c>
      <c r="G148" s="168">
        <v>12.091222030981067</v>
      </c>
      <c r="H148" s="168">
        <v>4.0017211703958688</v>
      </c>
      <c r="I148" s="168">
        <v>57.013769363166951</v>
      </c>
      <c r="J148" s="168">
        <v>9.4234079173838214</v>
      </c>
      <c r="K148" s="168">
        <v>9.0361445783132535</v>
      </c>
      <c r="L148" s="168">
        <v>11.66092943201377</v>
      </c>
      <c r="M148" s="168">
        <v>12.865748709122203</v>
      </c>
    </row>
    <row r="149" spans="2:13" x14ac:dyDescent="0.2">
      <c r="B149" s="189" t="s">
        <v>303</v>
      </c>
      <c r="C149" s="170">
        <v>1405</v>
      </c>
      <c r="D149" s="168">
        <v>18.790035587188612</v>
      </c>
      <c r="E149" s="168">
        <v>25.693950177935942</v>
      </c>
      <c r="F149" s="168">
        <v>40.782918149466191</v>
      </c>
      <c r="G149" s="168">
        <v>11.245551601423488</v>
      </c>
      <c r="H149" s="168">
        <v>3.487544483985765</v>
      </c>
      <c r="I149" s="168">
        <v>56.085409252669038</v>
      </c>
      <c r="J149" s="168">
        <v>10.0355871886121</v>
      </c>
      <c r="K149" s="168">
        <v>9.8932384341637007</v>
      </c>
      <c r="L149" s="168">
        <v>13.09608540925267</v>
      </c>
      <c r="M149" s="168">
        <v>10.88967971530249</v>
      </c>
    </row>
    <row r="150" spans="2:13" x14ac:dyDescent="0.2">
      <c r="B150" s="189" t="s">
        <v>304</v>
      </c>
      <c r="C150" s="170">
        <v>2801</v>
      </c>
      <c r="D150" s="168">
        <v>15.708675473045341</v>
      </c>
      <c r="E150" s="168">
        <v>24.705462334880401</v>
      </c>
      <c r="F150" s="168">
        <v>41.699393073902179</v>
      </c>
      <c r="G150" s="168">
        <v>12.923955730096393</v>
      </c>
      <c r="H150" s="168">
        <v>4.9625133880756875</v>
      </c>
      <c r="I150" s="168">
        <v>53.730810424848265</v>
      </c>
      <c r="J150" s="168">
        <v>9.3538022134951806</v>
      </c>
      <c r="K150" s="168">
        <v>10.781863620135665</v>
      </c>
      <c r="L150" s="168">
        <v>12.709746519100321</v>
      </c>
      <c r="M150" s="168">
        <v>13.423777222420565</v>
      </c>
    </row>
    <row r="151" spans="2:13" x14ac:dyDescent="0.2">
      <c r="B151" s="189" t="s">
        <v>305</v>
      </c>
      <c r="C151" s="170">
        <v>1605</v>
      </c>
      <c r="D151" s="168">
        <v>20.373831775700936</v>
      </c>
      <c r="E151" s="168">
        <v>25.046728971962615</v>
      </c>
      <c r="F151" s="168">
        <v>38.81619937694704</v>
      </c>
      <c r="G151" s="168">
        <v>11.214953271028037</v>
      </c>
      <c r="H151" s="168">
        <v>4.5482866043613708</v>
      </c>
      <c r="I151" s="168">
        <v>51.588785046728972</v>
      </c>
      <c r="J151" s="168">
        <v>8.9719626168224291</v>
      </c>
      <c r="K151" s="168">
        <v>10.280373831775702</v>
      </c>
      <c r="L151" s="168">
        <v>14.579439252336449</v>
      </c>
      <c r="M151" s="168">
        <v>14.579439252336449</v>
      </c>
    </row>
    <row r="152" spans="2:13" x14ac:dyDescent="0.2">
      <c r="B152" s="189" t="s">
        <v>306</v>
      </c>
      <c r="C152" s="170">
        <v>2063</v>
      </c>
      <c r="D152" s="168">
        <v>16.529326223945709</v>
      </c>
      <c r="E152" s="168">
        <v>23.315559864275325</v>
      </c>
      <c r="F152" s="168">
        <v>36.306349975763453</v>
      </c>
      <c r="G152" s="168">
        <v>14.105671352399419</v>
      </c>
      <c r="H152" s="168">
        <v>9.7430925836160931</v>
      </c>
      <c r="I152" s="168">
        <v>45.225399903053805</v>
      </c>
      <c r="J152" s="168">
        <v>9.0644692195831311</v>
      </c>
      <c r="K152" s="168">
        <v>8.7251575375666501</v>
      </c>
      <c r="L152" s="168">
        <v>17.256422685409596</v>
      </c>
      <c r="M152" s="168">
        <v>19.728550654386815</v>
      </c>
    </row>
    <row r="153" spans="2:13" x14ac:dyDescent="0.2">
      <c r="B153" s="189" t="s">
        <v>307</v>
      </c>
      <c r="C153" s="170">
        <v>2693</v>
      </c>
      <c r="D153" s="168">
        <v>19.866320089119942</v>
      </c>
      <c r="E153" s="168">
        <v>27.40438173041218</v>
      </c>
      <c r="F153" s="168">
        <v>37.356108429261049</v>
      </c>
      <c r="G153" s="168">
        <v>11.214259190493873</v>
      </c>
      <c r="H153" s="168">
        <v>4.1589305607129594</v>
      </c>
      <c r="I153" s="168">
        <v>49.572966951355369</v>
      </c>
      <c r="J153" s="168">
        <v>8.874860750092834</v>
      </c>
      <c r="K153" s="168">
        <v>9.5803936130709246</v>
      </c>
      <c r="L153" s="168">
        <v>15.224656516895655</v>
      </c>
      <c r="M153" s="168">
        <v>16.747122168585221</v>
      </c>
    </row>
    <row r="154" spans="2:13" x14ac:dyDescent="0.2">
      <c r="B154" s="189" t="s">
        <v>308</v>
      </c>
      <c r="C154" s="170">
        <v>1465</v>
      </c>
      <c r="D154" s="168">
        <v>15.426621160409557</v>
      </c>
      <c r="E154" s="168">
        <v>22.593856655290104</v>
      </c>
      <c r="F154" s="168">
        <v>40.955631399317404</v>
      </c>
      <c r="G154" s="168">
        <v>13.993174061433447</v>
      </c>
      <c r="H154" s="168">
        <v>7.0307167235494878</v>
      </c>
      <c r="I154" s="168">
        <v>43.822525597269625</v>
      </c>
      <c r="J154" s="168">
        <v>7.8498293515358366</v>
      </c>
      <c r="K154" s="168">
        <v>9.8976109215017072</v>
      </c>
      <c r="L154" s="168">
        <v>16.313993174061434</v>
      </c>
      <c r="M154" s="168">
        <v>22.116040955631398</v>
      </c>
    </row>
    <row r="155" spans="2:13" x14ac:dyDescent="0.2">
      <c r="B155" s="188" t="s">
        <v>309</v>
      </c>
      <c r="C155" s="169">
        <v>18115</v>
      </c>
      <c r="D155" s="167">
        <v>18.873861440794922</v>
      </c>
      <c r="E155" s="167">
        <v>26.315208390836325</v>
      </c>
      <c r="F155" s="167">
        <v>37.670438862820866</v>
      </c>
      <c r="G155" s="167">
        <v>12.001104057410986</v>
      </c>
      <c r="H155" s="167">
        <v>5.1393872481369032</v>
      </c>
      <c r="I155" s="167">
        <v>52.829147115650017</v>
      </c>
      <c r="J155" s="167">
        <v>9.7433066519459004</v>
      </c>
      <c r="K155" s="167">
        <v>10.030361578802097</v>
      </c>
      <c r="L155" s="167">
        <v>13.938724813690312</v>
      </c>
      <c r="M155" s="167">
        <v>13.458459839911676</v>
      </c>
    </row>
    <row r="156" spans="2:13" x14ac:dyDescent="0.2">
      <c r="B156" s="189" t="s">
        <v>310</v>
      </c>
      <c r="C156" s="170">
        <v>491</v>
      </c>
      <c r="D156" s="168">
        <v>18.940936863543786</v>
      </c>
      <c r="E156" s="168">
        <v>25.254582484725052</v>
      </c>
      <c r="F156" s="168">
        <v>36.65987780040733</v>
      </c>
      <c r="G156" s="168">
        <v>11.812627291242363</v>
      </c>
      <c r="H156" s="168">
        <v>7.3319755600814664</v>
      </c>
      <c r="I156" s="168">
        <v>53.767820773930751</v>
      </c>
      <c r="J156" s="168">
        <v>9.1649694501018324</v>
      </c>
      <c r="K156" s="168">
        <v>12.627291242362526</v>
      </c>
      <c r="L156" s="168">
        <v>12.830957230142566</v>
      </c>
      <c r="M156" s="168">
        <v>11.608961303462321</v>
      </c>
    </row>
    <row r="157" spans="2:13" x14ac:dyDescent="0.2">
      <c r="B157" s="189" t="s">
        <v>311</v>
      </c>
      <c r="C157" s="170">
        <v>774</v>
      </c>
      <c r="D157" s="168">
        <v>20.025839793281655</v>
      </c>
      <c r="E157" s="168">
        <v>25.193798449612402</v>
      </c>
      <c r="F157" s="168">
        <v>34.496124031007753</v>
      </c>
      <c r="G157" s="168">
        <v>13.565891472868216</v>
      </c>
      <c r="H157" s="168">
        <v>6.7183462532299743</v>
      </c>
      <c r="I157" s="168">
        <v>54.521963824289408</v>
      </c>
      <c r="J157" s="168">
        <v>8.9147286821705425</v>
      </c>
      <c r="K157" s="168">
        <v>9.1731266149870798</v>
      </c>
      <c r="L157" s="168">
        <v>14.082687338501293</v>
      </c>
      <c r="M157" s="168">
        <v>13.307493540051679</v>
      </c>
    </row>
    <row r="158" spans="2:13" x14ac:dyDescent="0.2">
      <c r="B158" s="223" t="s">
        <v>312</v>
      </c>
      <c r="C158" s="170">
        <v>920</v>
      </c>
      <c r="D158" s="168">
        <v>15.760869565217391</v>
      </c>
      <c r="E158" s="168">
        <v>27.282608695652176</v>
      </c>
      <c r="F158" s="168">
        <v>39.782608695652172</v>
      </c>
      <c r="G158" s="168">
        <v>12.826086956521738</v>
      </c>
      <c r="H158" s="168">
        <v>4.3478260869565215</v>
      </c>
      <c r="I158" s="168">
        <v>54.456521739130437</v>
      </c>
      <c r="J158" s="168">
        <v>9.8913043478260878</v>
      </c>
      <c r="K158" s="168">
        <v>10.652173913043478</v>
      </c>
      <c r="L158" s="168">
        <v>14.347826086956522</v>
      </c>
      <c r="M158" s="168">
        <v>10.652173913043478</v>
      </c>
    </row>
    <row r="159" spans="2:13" x14ac:dyDescent="0.2">
      <c r="B159" s="189" t="s">
        <v>313</v>
      </c>
      <c r="C159" s="170">
        <v>558</v>
      </c>
      <c r="D159" s="168">
        <v>20.967741935483872</v>
      </c>
      <c r="E159" s="168">
        <v>28.49462365591398</v>
      </c>
      <c r="F159" s="168">
        <v>35.125448028673837</v>
      </c>
      <c r="G159" s="168">
        <v>10.75268817204301</v>
      </c>
      <c r="H159" s="168">
        <v>4.6594982078853047</v>
      </c>
      <c r="I159" s="168">
        <v>50.716845878136198</v>
      </c>
      <c r="J159" s="168">
        <v>11.111111111111111</v>
      </c>
      <c r="K159" s="168">
        <v>12.007168458781361</v>
      </c>
      <c r="L159" s="168">
        <v>13.978494623655914</v>
      </c>
      <c r="M159" s="168">
        <v>12.186379928315413</v>
      </c>
    </row>
    <row r="160" spans="2:13" x14ac:dyDescent="0.2">
      <c r="B160" s="189" t="s">
        <v>314</v>
      </c>
      <c r="C160" s="170">
        <v>310</v>
      </c>
      <c r="D160" s="168">
        <v>18.06451612903226</v>
      </c>
      <c r="E160" s="168">
        <v>24.193548387096776</v>
      </c>
      <c r="F160" s="168">
        <v>36.451612903225808</v>
      </c>
      <c r="G160" s="168">
        <v>16.451612903225808</v>
      </c>
      <c r="H160" s="168">
        <v>4.838709677419355</v>
      </c>
      <c r="I160" s="168">
        <v>48.387096774193552</v>
      </c>
      <c r="J160" s="168">
        <v>7.096774193548387</v>
      </c>
      <c r="K160" s="168">
        <v>13.548387096774194</v>
      </c>
      <c r="L160" s="168">
        <v>15.806451612903226</v>
      </c>
      <c r="M160" s="168">
        <v>15.161290322580646</v>
      </c>
    </row>
    <row r="161" spans="2:13" x14ac:dyDescent="0.2">
      <c r="B161" s="189" t="s">
        <v>315</v>
      </c>
      <c r="C161" s="170">
        <v>326</v>
      </c>
      <c r="D161" s="168">
        <v>24.233128834355828</v>
      </c>
      <c r="E161" s="168">
        <v>24.846625766871167</v>
      </c>
      <c r="F161" s="168">
        <v>36.809815950920246</v>
      </c>
      <c r="G161" s="168">
        <v>10.429447852760736</v>
      </c>
      <c r="H161" s="168">
        <v>3.6809815950920246</v>
      </c>
      <c r="I161" s="168">
        <v>49.079754601226995</v>
      </c>
      <c r="J161" s="168">
        <v>10.736196319018404</v>
      </c>
      <c r="K161" s="168">
        <v>9.8159509202453989</v>
      </c>
      <c r="L161" s="168">
        <v>18.098159509202453</v>
      </c>
      <c r="M161" s="168">
        <v>12.269938650306749</v>
      </c>
    </row>
    <row r="162" spans="2:13" x14ac:dyDescent="0.2">
      <c r="B162" s="189" t="s">
        <v>316</v>
      </c>
      <c r="C162" s="170">
        <v>1511</v>
      </c>
      <c r="D162" s="168">
        <v>17.670416942422236</v>
      </c>
      <c r="E162" s="168">
        <v>31.436135009927199</v>
      </c>
      <c r="F162" s="168">
        <v>38.186631369953673</v>
      </c>
      <c r="G162" s="168">
        <v>9.7286565188616816</v>
      </c>
      <c r="H162" s="168">
        <v>2.9781601588352085</v>
      </c>
      <c r="I162" s="168">
        <v>52.084712111184643</v>
      </c>
      <c r="J162" s="168">
        <v>11.912640635340834</v>
      </c>
      <c r="K162" s="168">
        <v>10.125744540039708</v>
      </c>
      <c r="L162" s="168">
        <v>12.839179351422899</v>
      </c>
      <c r="M162" s="168">
        <v>13.037723362011914</v>
      </c>
    </row>
    <row r="163" spans="2:13" x14ac:dyDescent="0.2">
      <c r="B163" s="189" t="s">
        <v>317</v>
      </c>
      <c r="C163" s="170">
        <v>546</v>
      </c>
      <c r="D163" s="168">
        <v>18.864468864468865</v>
      </c>
      <c r="E163" s="168">
        <v>27.838827838827839</v>
      </c>
      <c r="F163" s="168">
        <v>38.644688644688642</v>
      </c>
      <c r="G163" s="168">
        <v>12.637362637362637</v>
      </c>
      <c r="H163" s="168">
        <v>2.0146520146520146</v>
      </c>
      <c r="I163" s="168">
        <v>51.831501831501832</v>
      </c>
      <c r="J163" s="168">
        <v>10.805860805860807</v>
      </c>
      <c r="K163" s="168">
        <v>7.5091575091575091</v>
      </c>
      <c r="L163" s="168">
        <v>14.102564102564102</v>
      </c>
      <c r="M163" s="168">
        <v>15.750915750915752</v>
      </c>
    </row>
    <row r="164" spans="2:13" x14ac:dyDescent="0.2">
      <c r="B164" s="189" t="s">
        <v>318</v>
      </c>
      <c r="C164" s="170">
        <v>623</v>
      </c>
      <c r="D164" s="168">
        <v>17.977528089887642</v>
      </c>
      <c r="E164" s="168">
        <v>27.126805778491171</v>
      </c>
      <c r="F164" s="168">
        <v>34.510433386837882</v>
      </c>
      <c r="G164" s="168">
        <v>14.767255216693419</v>
      </c>
      <c r="H164" s="168">
        <v>5.617977528089888</v>
      </c>
      <c r="I164" s="168">
        <v>50.080256821829856</v>
      </c>
      <c r="J164" s="168">
        <v>8.9887640449438209</v>
      </c>
      <c r="K164" s="168">
        <v>10.272873194221509</v>
      </c>
      <c r="L164" s="168">
        <v>15.088282504012842</v>
      </c>
      <c r="M164" s="168">
        <v>15.569823434991974</v>
      </c>
    </row>
    <row r="165" spans="2:13" x14ac:dyDescent="0.2">
      <c r="B165" s="189" t="s">
        <v>319</v>
      </c>
      <c r="C165" s="170">
        <v>692</v>
      </c>
      <c r="D165" s="168">
        <v>17.919075144508671</v>
      </c>
      <c r="E165" s="168">
        <v>26.878612716763005</v>
      </c>
      <c r="F165" s="168">
        <v>41.618497109826592</v>
      </c>
      <c r="G165" s="168">
        <v>9.6820809248554909</v>
      </c>
      <c r="H165" s="168">
        <v>3.901734104046243</v>
      </c>
      <c r="I165" s="168">
        <v>52.312138728323703</v>
      </c>
      <c r="J165" s="168">
        <v>10.549132947976879</v>
      </c>
      <c r="K165" s="168">
        <v>10.982658959537572</v>
      </c>
      <c r="L165" s="168">
        <v>13.294797687861271</v>
      </c>
      <c r="M165" s="168">
        <v>12.861271676300579</v>
      </c>
    </row>
    <row r="166" spans="2:13" x14ac:dyDescent="0.2">
      <c r="B166" s="189" t="s">
        <v>320</v>
      </c>
      <c r="C166" s="170">
        <v>105</v>
      </c>
      <c r="D166" s="168">
        <v>26.666666666666668</v>
      </c>
      <c r="E166" s="168">
        <v>20</v>
      </c>
      <c r="F166" s="168">
        <v>40</v>
      </c>
      <c r="G166" s="168">
        <v>7.6190476190476186</v>
      </c>
      <c r="H166" s="168">
        <v>5.7142857142857144</v>
      </c>
      <c r="I166" s="168">
        <v>56.19047619047619</v>
      </c>
      <c r="J166" s="168">
        <v>8.5714285714285712</v>
      </c>
      <c r="K166" s="168">
        <v>6.666666666666667</v>
      </c>
      <c r="L166" s="168">
        <v>13.333333333333334</v>
      </c>
      <c r="M166" s="168">
        <v>15.238095238095237</v>
      </c>
    </row>
    <row r="167" spans="2:13" x14ac:dyDescent="0.2">
      <c r="B167" s="189" t="s">
        <v>321</v>
      </c>
      <c r="C167" s="170">
        <v>178</v>
      </c>
      <c r="D167" s="168">
        <v>22.471910112359552</v>
      </c>
      <c r="E167" s="168">
        <v>21.348314606741575</v>
      </c>
      <c r="F167" s="168">
        <v>35.393258426966291</v>
      </c>
      <c r="G167" s="168">
        <v>15.730337078651685</v>
      </c>
      <c r="H167" s="168">
        <v>5.0561797752808992</v>
      </c>
      <c r="I167" s="168">
        <v>41.573033707865171</v>
      </c>
      <c r="J167" s="168">
        <v>10.674157303370787</v>
      </c>
      <c r="K167" s="168">
        <v>12.921348314606741</v>
      </c>
      <c r="L167" s="168">
        <v>14.606741573033707</v>
      </c>
      <c r="M167" s="168">
        <v>20.224719101123597</v>
      </c>
    </row>
    <row r="168" spans="2:13" x14ac:dyDescent="0.2">
      <c r="B168" s="189" t="s">
        <v>322</v>
      </c>
      <c r="C168" s="170">
        <v>1753</v>
      </c>
      <c r="D168" s="168">
        <v>18.710781517398743</v>
      </c>
      <c r="E168" s="168">
        <v>24.015972618368512</v>
      </c>
      <c r="F168" s="168">
        <v>38.049058756417573</v>
      </c>
      <c r="G168" s="168">
        <v>13.291500285225329</v>
      </c>
      <c r="H168" s="168">
        <v>5.9326868225898464</v>
      </c>
      <c r="I168" s="168">
        <v>56.645750142612663</v>
      </c>
      <c r="J168" s="168">
        <v>8.7849401026811176</v>
      </c>
      <c r="K168" s="168">
        <v>9.3553907586993716</v>
      </c>
      <c r="L168" s="168">
        <v>12.150598973188819</v>
      </c>
      <c r="M168" s="168">
        <v>13.063320022818026</v>
      </c>
    </row>
    <row r="169" spans="2:13" x14ac:dyDescent="0.2">
      <c r="B169" s="189" t="s">
        <v>323</v>
      </c>
      <c r="C169" s="170">
        <v>543</v>
      </c>
      <c r="D169" s="168">
        <v>16.390423572744016</v>
      </c>
      <c r="E169" s="168">
        <v>26.519337016574585</v>
      </c>
      <c r="F169" s="168">
        <v>40.515653775322285</v>
      </c>
      <c r="G169" s="168">
        <v>10.313075506445673</v>
      </c>
      <c r="H169" s="168">
        <v>6.2615101289134438</v>
      </c>
      <c r="I169" s="168">
        <v>53.959484346224677</v>
      </c>
      <c r="J169" s="168">
        <v>9.2081031307550649</v>
      </c>
      <c r="K169" s="168">
        <v>9.7605893186003687</v>
      </c>
      <c r="L169" s="168">
        <v>14.548802946593002</v>
      </c>
      <c r="M169" s="168">
        <v>12.523020257826888</v>
      </c>
    </row>
    <row r="170" spans="2:13" x14ac:dyDescent="0.2">
      <c r="B170" s="189" t="s">
        <v>554</v>
      </c>
      <c r="C170" s="170">
        <v>4034</v>
      </c>
      <c r="D170" s="168">
        <v>18.715914724838871</v>
      </c>
      <c r="E170" s="168">
        <v>26.722855726326227</v>
      </c>
      <c r="F170" s="168">
        <v>38.7456618740704</v>
      </c>
      <c r="G170" s="168">
        <v>10.684184432325235</v>
      </c>
      <c r="H170" s="168">
        <v>5.1313832424392665</v>
      </c>
      <c r="I170" s="168">
        <v>53.396132870599899</v>
      </c>
      <c r="J170" s="168">
        <v>9.6926127912741702</v>
      </c>
      <c r="K170" s="168">
        <v>9.5686663361427868</v>
      </c>
      <c r="L170" s="168">
        <v>13.807635101636093</v>
      </c>
      <c r="M170" s="168">
        <v>13.534952900347051</v>
      </c>
    </row>
    <row r="171" spans="2:13" x14ac:dyDescent="0.2">
      <c r="B171" s="189" t="s">
        <v>324</v>
      </c>
      <c r="C171" s="170">
        <v>734</v>
      </c>
      <c r="D171" s="168">
        <v>20.708446866485012</v>
      </c>
      <c r="E171" s="168">
        <v>24.52316076294278</v>
      </c>
      <c r="F171" s="168">
        <v>35.967302452316076</v>
      </c>
      <c r="G171" s="168">
        <v>14.713896457765667</v>
      </c>
      <c r="H171" s="168">
        <v>4.0871934604904636</v>
      </c>
      <c r="I171" s="168">
        <v>54.087193460490461</v>
      </c>
      <c r="J171" s="168">
        <v>9.2643051771117158</v>
      </c>
      <c r="K171" s="168">
        <v>10.217983651226158</v>
      </c>
      <c r="L171" s="168">
        <v>14.30517711171662</v>
      </c>
      <c r="M171" s="168">
        <v>12.125340599455042</v>
      </c>
    </row>
    <row r="172" spans="2:13" x14ac:dyDescent="0.2">
      <c r="B172" s="189" t="s">
        <v>325</v>
      </c>
      <c r="C172" s="170">
        <v>441</v>
      </c>
      <c r="D172" s="168">
        <v>16.780045351473923</v>
      </c>
      <c r="E172" s="168">
        <v>23.356009070294785</v>
      </c>
      <c r="F172" s="168">
        <v>38.548752834467123</v>
      </c>
      <c r="G172" s="168">
        <v>12.92517006802721</v>
      </c>
      <c r="H172" s="168">
        <v>8.3900226757369616</v>
      </c>
      <c r="I172" s="168">
        <v>51.47392290249433</v>
      </c>
      <c r="J172" s="168">
        <v>9.0702947845804989</v>
      </c>
      <c r="K172" s="168">
        <v>10.657596371882086</v>
      </c>
      <c r="L172" s="168">
        <v>14.739229024943311</v>
      </c>
      <c r="M172" s="168">
        <v>14.058956916099774</v>
      </c>
    </row>
    <row r="173" spans="2:13" x14ac:dyDescent="0.2">
      <c r="B173" s="189" t="s">
        <v>326</v>
      </c>
      <c r="C173" s="170">
        <v>2164</v>
      </c>
      <c r="D173" s="168">
        <v>19.916820702402958</v>
      </c>
      <c r="E173" s="168">
        <v>25.369685767097966</v>
      </c>
      <c r="F173" s="168">
        <v>35.905730129390015</v>
      </c>
      <c r="G173" s="168">
        <v>12.939001848428836</v>
      </c>
      <c r="H173" s="168">
        <v>5.8687615526802217</v>
      </c>
      <c r="I173" s="168">
        <v>53.142329020332717</v>
      </c>
      <c r="J173" s="168">
        <v>9.0573012939001849</v>
      </c>
      <c r="K173" s="168">
        <v>10.166358595194085</v>
      </c>
      <c r="L173" s="168">
        <v>13.632162661737523</v>
      </c>
      <c r="M173" s="168">
        <v>14.001848428835491</v>
      </c>
    </row>
    <row r="174" spans="2:13" x14ac:dyDescent="0.2">
      <c r="B174" s="189" t="s">
        <v>327</v>
      </c>
      <c r="C174" s="170">
        <v>1412</v>
      </c>
      <c r="D174" s="168">
        <v>19.192634560906516</v>
      </c>
      <c r="E174" s="168">
        <v>25.920679886685551</v>
      </c>
      <c r="F174" s="168">
        <v>37.181303116147312</v>
      </c>
      <c r="G174" s="168">
        <v>12.181303116147308</v>
      </c>
      <c r="H174" s="168">
        <v>5.524079320113314</v>
      </c>
      <c r="I174" s="168">
        <v>49.504249291784703</v>
      </c>
      <c r="J174" s="168">
        <v>10.339943342776204</v>
      </c>
      <c r="K174" s="168">
        <v>9.6317280453257794</v>
      </c>
      <c r="L174" s="168">
        <v>15.864022662889518</v>
      </c>
      <c r="M174" s="168">
        <v>14.660056657223796</v>
      </c>
    </row>
    <row r="175" spans="2:13" x14ac:dyDescent="0.2">
      <c r="B175" s="188" t="s">
        <v>328</v>
      </c>
      <c r="C175" s="169">
        <v>25483</v>
      </c>
      <c r="D175" s="167">
        <v>18.125809363104814</v>
      </c>
      <c r="E175" s="167">
        <v>23.902209316014599</v>
      </c>
      <c r="F175" s="167">
        <v>39.312482831691717</v>
      </c>
      <c r="G175" s="167">
        <v>12.286622454185142</v>
      </c>
      <c r="H175" s="167">
        <v>6.3728760350037277</v>
      </c>
      <c r="I175" s="167">
        <v>53.643605540948869</v>
      </c>
      <c r="J175" s="167">
        <v>9.2689243809598558</v>
      </c>
      <c r="K175" s="167">
        <v>9.7751442137895861</v>
      </c>
      <c r="L175" s="167">
        <v>13.024369187301339</v>
      </c>
      <c r="M175" s="167">
        <v>14.287956677000354</v>
      </c>
    </row>
    <row r="176" spans="2:13" x14ac:dyDescent="0.2">
      <c r="B176" s="189" t="s">
        <v>329</v>
      </c>
      <c r="C176" s="170">
        <v>437</v>
      </c>
      <c r="D176" s="168">
        <v>19.908466819221967</v>
      </c>
      <c r="E176" s="168">
        <v>26.086956521739129</v>
      </c>
      <c r="F176" s="168">
        <v>42.791762013729979</v>
      </c>
      <c r="G176" s="168">
        <v>8.9244851258581228</v>
      </c>
      <c r="H176" s="168">
        <v>2.2883295194508011</v>
      </c>
      <c r="I176" s="168">
        <v>46.224256292906176</v>
      </c>
      <c r="J176" s="168">
        <v>6.636155606407323</v>
      </c>
      <c r="K176" s="168">
        <v>10.068649885583524</v>
      </c>
      <c r="L176" s="168">
        <v>17.620137299771166</v>
      </c>
      <c r="M176" s="168">
        <v>19.450800915331808</v>
      </c>
    </row>
    <row r="177" spans="2:13" x14ac:dyDescent="0.2">
      <c r="B177" s="189" t="s">
        <v>330</v>
      </c>
      <c r="C177" s="170">
        <v>3096</v>
      </c>
      <c r="D177" s="168">
        <v>15.213178294573643</v>
      </c>
      <c r="E177" s="168">
        <v>20.413436692506458</v>
      </c>
      <c r="F177" s="168">
        <v>44.735142118863052</v>
      </c>
      <c r="G177" s="168">
        <v>14.11498708010336</v>
      </c>
      <c r="H177" s="168">
        <v>5.5232558139534884</v>
      </c>
      <c r="I177" s="168">
        <v>56.363049095607238</v>
      </c>
      <c r="J177" s="168">
        <v>10.045219638242894</v>
      </c>
      <c r="K177" s="168">
        <v>10.335917312661499</v>
      </c>
      <c r="L177" s="168">
        <v>12.952196382428941</v>
      </c>
      <c r="M177" s="168">
        <v>10.303617571059432</v>
      </c>
    </row>
    <row r="178" spans="2:13" x14ac:dyDescent="0.2">
      <c r="B178" s="223" t="s">
        <v>331</v>
      </c>
      <c r="C178" s="170">
        <v>2022</v>
      </c>
      <c r="D178" s="168">
        <v>18.941641938674579</v>
      </c>
      <c r="E178" s="168">
        <v>18.199802176063304</v>
      </c>
      <c r="F178" s="168">
        <v>33.234421364985167</v>
      </c>
      <c r="G178" s="168">
        <v>15.974282888229476</v>
      </c>
      <c r="H178" s="168">
        <v>13.649851632047477</v>
      </c>
      <c r="I178" s="168">
        <v>47.972304648862512</v>
      </c>
      <c r="J178" s="168">
        <v>7.8140454995054398</v>
      </c>
      <c r="K178" s="168">
        <v>8.6053412462908003</v>
      </c>
      <c r="L178" s="168">
        <v>13.402571711177053</v>
      </c>
      <c r="M178" s="168">
        <v>22.205736894164193</v>
      </c>
    </row>
    <row r="179" spans="2:13" x14ac:dyDescent="0.2">
      <c r="B179" s="189" t="s">
        <v>332</v>
      </c>
      <c r="C179" s="170">
        <v>5766</v>
      </c>
      <c r="D179" s="168">
        <v>18.002081165452655</v>
      </c>
      <c r="E179" s="168">
        <v>25.442247658688867</v>
      </c>
      <c r="F179" s="168">
        <v>39.628858827610131</v>
      </c>
      <c r="G179" s="168">
        <v>12.018730489073882</v>
      </c>
      <c r="H179" s="168">
        <v>4.9080818591744713</v>
      </c>
      <c r="I179" s="168">
        <v>55.532431494970517</v>
      </c>
      <c r="J179" s="168">
        <v>8.8276101283385362</v>
      </c>
      <c r="K179" s="168">
        <v>9.4519597641345818</v>
      </c>
      <c r="L179" s="168">
        <v>12.313562261533125</v>
      </c>
      <c r="M179" s="168">
        <v>13.87443635102324</v>
      </c>
    </row>
    <row r="180" spans="2:13" x14ac:dyDescent="0.2">
      <c r="B180" s="189" t="s">
        <v>333</v>
      </c>
      <c r="C180" s="170">
        <v>743</v>
      </c>
      <c r="D180" s="168">
        <v>18.169582772543741</v>
      </c>
      <c r="E180" s="168">
        <v>25.43741588156124</v>
      </c>
      <c r="F180" s="168">
        <v>42.799461641991925</v>
      </c>
      <c r="G180" s="168">
        <v>9.2866756393001353</v>
      </c>
      <c r="H180" s="168">
        <v>4.3068640646029612</v>
      </c>
      <c r="I180" s="168">
        <v>57.873485868102286</v>
      </c>
      <c r="J180" s="168">
        <v>9.1520861372812927</v>
      </c>
      <c r="K180" s="168">
        <v>10.094212651413189</v>
      </c>
      <c r="L180" s="168">
        <v>9.9596231493943481</v>
      </c>
      <c r="M180" s="168">
        <v>12.920592193808883</v>
      </c>
    </row>
    <row r="181" spans="2:13" x14ac:dyDescent="0.2">
      <c r="B181" s="189" t="s">
        <v>334</v>
      </c>
      <c r="C181" s="170">
        <v>555</v>
      </c>
      <c r="D181" s="168">
        <v>20.72072072072072</v>
      </c>
      <c r="E181" s="168">
        <v>27.747747747747749</v>
      </c>
      <c r="F181" s="168">
        <v>36.396396396396398</v>
      </c>
      <c r="G181" s="168">
        <v>11.531531531531531</v>
      </c>
      <c r="H181" s="168">
        <v>3.6036036036036037</v>
      </c>
      <c r="I181" s="168">
        <v>55.315315315315317</v>
      </c>
      <c r="J181" s="168">
        <v>7.5675675675675675</v>
      </c>
      <c r="K181" s="168">
        <v>11.531531531531531</v>
      </c>
      <c r="L181" s="168">
        <v>13.513513513513514</v>
      </c>
      <c r="M181" s="168">
        <v>12.072072072072071</v>
      </c>
    </row>
    <row r="182" spans="2:13" x14ac:dyDescent="0.2">
      <c r="B182" s="189" t="s">
        <v>335</v>
      </c>
      <c r="C182" s="170">
        <v>209</v>
      </c>
      <c r="D182" s="168">
        <v>14.354066985645932</v>
      </c>
      <c r="E182" s="168">
        <v>20.574162679425836</v>
      </c>
      <c r="F182" s="168">
        <v>34.449760765550238</v>
      </c>
      <c r="G182" s="168">
        <v>19.138755980861244</v>
      </c>
      <c r="H182" s="168">
        <v>11.483253588516746</v>
      </c>
      <c r="I182" s="168">
        <v>39.71291866028708</v>
      </c>
      <c r="J182" s="168">
        <v>6.6985645933014357</v>
      </c>
      <c r="K182" s="168">
        <v>8.6124401913875595</v>
      </c>
      <c r="L182" s="168">
        <v>19.138755980861244</v>
      </c>
      <c r="M182" s="168">
        <v>25.837320574162678</v>
      </c>
    </row>
    <row r="183" spans="2:13" x14ac:dyDescent="0.2">
      <c r="B183" s="189" t="s">
        <v>336</v>
      </c>
      <c r="C183" s="170">
        <v>7176</v>
      </c>
      <c r="D183" s="168">
        <v>18.840579710144926</v>
      </c>
      <c r="E183" s="168">
        <v>24.818840579710145</v>
      </c>
      <c r="F183" s="168">
        <v>38.795986622073578</v>
      </c>
      <c r="G183" s="168">
        <v>11.259754738015607</v>
      </c>
      <c r="H183" s="168">
        <v>6.2848383500557414</v>
      </c>
      <c r="I183" s="168">
        <v>55.79710144927536</v>
      </c>
      <c r="J183" s="168">
        <v>9.7826086956521738</v>
      </c>
      <c r="K183" s="168">
        <v>9.9916387959866224</v>
      </c>
      <c r="L183" s="168">
        <v>12.095875139353399</v>
      </c>
      <c r="M183" s="168">
        <v>12.332775919732441</v>
      </c>
    </row>
    <row r="184" spans="2:13" x14ac:dyDescent="0.2">
      <c r="B184" s="189" t="s">
        <v>337</v>
      </c>
      <c r="C184" s="170">
        <v>450</v>
      </c>
      <c r="D184" s="168">
        <v>16</v>
      </c>
      <c r="E184" s="168">
        <v>30.666666666666668</v>
      </c>
      <c r="F184" s="168">
        <v>38</v>
      </c>
      <c r="G184" s="168">
        <v>11.333333333333334</v>
      </c>
      <c r="H184" s="168">
        <v>4</v>
      </c>
      <c r="I184" s="168">
        <v>46.222222222222221</v>
      </c>
      <c r="J184" s="168">
        <v>12.888888888888889</v>
      </c>
      <c r="K184" s="168">
        <v>10.444444444444445</v>
      </c>
      <c r="L184" s="168">
        <v>14.888888888888889</v>
      </c>
      <c r="M184" s="168">
        <v>15.555555555555555</v>
      </c>
    </row>
    <row r="185" spans="2:13" x14ac:dyDescent="0.2">
      <c r="B185" s="189" t="s">
        <v>555</v>
      </c>
      <c r="C185" s="170">
        <v>1692</v>
      </c>
      <c r="D185" s="168">
        <v>17.198581560283689</v>
      </c>
      <c r="E185" s="168">
        <v>25.8274231678487</v>
      </c>
      <c r="F185" s="168">
        <v>41.016548463356976</v>
      </c>
      <c r="G185" s="168">
        <v>10.57919621749409</v>
      </c>
      <c r="H185" s="168">
        <v>5.3782505910165481</v>
      </c>
      <c r="I185" s="168">
        <v>56.737588652482266</v>
      </c>
      <c r="J185" s="168">
        <v>9.75177304964539</v>
      </c>
      <c r="K185" s="168">
        <v>9.8108747044917255</v>
      </c>
      <c r="L185" s="168">
        <v>11.997635933806146</v>
      </c>
      <c r="M185" s="168">
        <v>11.702127659574469</v>
      </c>
    </row>
    <row r="186" spans="2:13" x14ac:dyDescent="0.2">
      <c r="B186" s="189" t="s">
        <v>338</v>
      </c>
      <c r="C186" s="170">
        <v>1046</v>
      </c>
      <c r="D186" s="168">
        <v>18.260038240917783</v>
      </c>
      <c r="E186" s="168">
        <v>21.223709369024856</v>
      </c>
      <c r="F186" s="168">
        <v>34.225621414913959</v>
      </c>
      <c r="G186" s="168">
        <v>16.826003824091778</v>
      </c>
      <c r="H186" s="168">
        <v>9.4646271510516247</v>
      </c>
      <c r="I186" s="168">
        <v>45.697896749521988</v>
      </c>
      <c r="J186" s="168">
        <v>9.7514340344168264</v>
      </c>
      <c r="K186" s="168">
        <v>9.4646271510516247</v>
      </c>
      <c r="L186" s="168">
        <v>15.774378585086042</v>
      </c>
      <c r="M186" s="168">
        <v>19.311663479923517</v>
      </c>
    </row>
    <row r="187" spans="2:13" x14ac:dyDescent="0.2">
      <c r="B187" s="189" t="s">
        <v>339</v>
      </c>
      <c r="C187" s="170">
        <v>583</v>
      </c>
      <c r="D187" s="168">
        <v>22.29845626072041</v>
      </c>
      <c r="E187" s="168">
        <v>24.013722126929675</v>
      </c>
      <c r="F187" s="168">
        <v>37.564322469982848</v>
      </c>
      <c r="G187" s="168">
        <v>11.320754716981131</v>
      </c>
      <c r="H187" s="168">
        <v>4.802744425385935</v>
      </c>
      <c r="I187" s="168">
        <v>42.538593481989707</v>
      </c>
      <c r="J187" s="168">
        <v>9.2624356775300178</v>
      </c>
      <c r="K187" s="168">
        <v>8.9193825042881638</v>
      </c>
      <c r="L187" s="168">
        <v>18.524871355060036</v>
      </c>
      <c r="M187" s="168">
        <v>20.754716981132077</v>
      </c>
    </row>
    <row r="188" spans="2:13" x14ac:dyDescent="0.2">
      <c r="B188" s="189" t="s">
        <v>340</v>
      </c>
      <c r="C188" s="170">
        <v>1247</v>
      </c>
      <c r="D188" s="168">
        <v>18.364073777064956</v>
      </c>
      <c r="E188" s="168">
        <v>24.378508420208501</v>
      </c>
      <c r="F188" s="168">
        <v>38.81315156375301</v>
      </c>
      <c r="G188" s="168">
        <v>11.226944667201282</v>
      </c>
      <c r="H188" s="168">
        <v>7.2173215717722536</v>
      </c>
      <c r="I188" s="168">
        <v>49.719326383319967</v>
      </c>
      <c r="J188" s="168">
        <v>8.7409783480352843</v>
      </c>
      <c r="K188" s="168">
        <v>9.7032878909382525</v>
      </c>
      <c r="L188" s="168">
        <v>14.113873295910185</v>
      </c>
      <c r="M188" s="168">
        <v>17.722534081796312</v>
      </c>
    </row>
    <row r="189" spans="2:13" x14ac:dyDescent="0.2">
      <c r="B189" s="189" t="s">
        <v>341</v>
      </c>
      <c r="C189" s="170">
        <v>461</v>
      </c>
      <c r="D189" s="168">
        <v>20.607375271149674</v>
      </c>
      <c r="E189" s="168">
        <v>22.125813449023862</v>
      </c>
      <c r="F189" s="168">
        <v>40.563991323210409</v>
      </c>
      <c r="G189" s="168">
        <v>9.9783080260303691</v>
      </c>
      <c r="H189" s="168">
        <v>6.7245119305856829</v>
      </c>
      <c r="I189" s="168">
        <v>46.203904555314537</v>
      </c>
      <c r="J189" s="168">
        <v>8.8937093275488071</v>
      </c>
      <c r="K189" s="168">
        <v>10.629067245119305</v>
      </c>
      <c r="L189" s="168">
        <v>18.221258134490238</v>
      </c>
      <c r="M189" s="168">
        <v>16.052060737527114</v>
      </c>
    </row>
    <row r="190" spans="2:13" x14ac:dyDescent="0.2">
      <c r="B190" s="188" t="s">
        <v>342</v>
      </c>
      <c r="C190" s="169">
        <v>38373</v>
      </c>
      <c r="D190" s="167">
        <v>18.797070857113074</v>
      </c>
      <c r="E190" s="167">
        <v>29.656268730617882</v>
      </c>
      <c r="F190" s="167">
        <v>39.175983113126414</v>
      </c>
      <c r="G190" s="167">
        <v>8.9672425924478141</v>
      </c>
      <c r="H190" s="167">
        <v>3.4034347066948114</v>
      </c>
      <c r="I190" s="167">
        <v>56.45375654757251</v>
      </c>
      <c r="J190" s="167">
        <v>9.3972324290516767</v>
      </c>
      <c r="K190" s="167">
        <v>9.7412242983347674</v>
      </c>
      <c r="L190" s="167">
        <v>12.839757120892294</v>
      </c>
      <c r="M190" s="167">
        <v>11.56802960414875</v>
      </c>
    </row>
    <row r="191" spans="2:13" x14ac:dyDescent="0.2">
      <c r="B191" s="189" t="s">
        <v>343</v>
      </c>
      <c r="C191" s="170">
        <v>3955</v>
      </c>
      <c r="D191" s="168">
        <v>19.393173198482934</v>
      </c>
      <c r="E191" s="168">
        <v>30.77117572692794</v>
      </c>
      <c r="F191" s="168">
        <v>39.57016434892541</v>
      </c>
      <c r="G191" s="168">
        <v>7.9140328697850819</v>
      </c>
      <c r="H191" s="168">
        <v>2.3514538558786344</v>
      </c>
      <c r="I191" s="168">
        <v>64.096080910240204</v>
      </c>
      <c r="J191" s="168">
        <v>8.7989886219974718</v>
      </c>
      <c r="K191" s="168">
        <v>9.3805309734513269</v>
      </c>
      <c r="L191" s="168">
        <v>10.265486725663717</v>
      </c>
      <c r="M191" s="168">
        <v>7.4589127686472816</v>
      </c>
    </row>
    <row r="192" spans="2:13" x14ac:dyDescent="0.2">
      <c r="B192" s="189" t="s">
        <v>344</v>
      </c>
      <c r="C192" s="170">
        <v>165</v>
      </c>
      <c r="D192" s="168">
        <v>25.454545454545453</v>
      </c>
      <c r="E192" s="168">
        <v>28.484848484848484</v>
      </c>
      <c r="F192" s="168">
        <v>35.151515151515149</v>
      </c>
      <c r="G192" s="168">
        <v>6.666666666666667</v>
      </c>
      <c r="H192" s="168">
        <v>4.2424242424242422</v>
      </c>
      <c r="I192" s="168">
        <v>48.484848484848484</v>
      </c>
      <c r="J192" s="168">
        <v>9.6969696969696972</v>
      </c>
      <c r="K192" s="168">
        <v>7.8787878787878789</v>
      </c>
      <c r="L192" s="168">
        <v>18.787878787878789</v>
      </c>
      <c r="M192" s="168">
        <v>15.151515151515152</v>
      </c>
    </row>
    <row r="193" spans="2:13" x14ac:dyDescent="0.2">
      <c r="B193" s="223" t="s">
        <v>345</v>
      </c>
      <c r="C193" s="170">
        <v>453</v>
      </c>
      <c r="D193" s="168">
        <v>17.218543046357617</v>
      </c>
      <c r="E193" s="168">
        <v>31.567328918322296</v>
      </c>
      <c r="F193" s="168">
        <v>37.086092715231786</v>
      </c>
      <c r="G193" s="168">
        <v>10.154525386313466</v>
      </c>
      <c r="H193" s="168">
        <v>3.9735099337748343</v>
      </c>
      <c r="I193" s="168">
        <v>47.240618101545252</v>
      </c>
      <c r="J193" s="168">
        <v>10.596026490066226</v>
      </c>
      <c r="K193" s="168">
        <v>12.362030905077262</v>
      </c>
      <c r="L193" s="168">
        <v>15.894039735099337</v>
      </c>
      <c r="M193" s="168">
        <v>13.907284768211921</v>
      </c>
    </row>
    <row r="194" spans="2:13" x14ac:dyDescent="0.2">
      <c r="B194" s="189" t="s">
        <v>346</v>
      </c>
      <c r="C194" s="170">
        <v>2117</v>
      </c>
      <c r="D194" s="168">
        <v>18.564005668398678</v>
      </c>
      <c r="E194" s="168">
        <v>27.775153519130846</v>
      </c>
      <c r="F194" s="168">
        <v>40.434577231931982</v>
      </c>
      <c r="G194" s="168">
        <v>9.4473311289560691</v>
      </c>
      <c r="H194" s="168">
        <v>3.7789324515824281</v>
      </c>
      <c r="I194" s="168">
        <v>50.118091639111952</v>
      </c>
      <c r="J194" s="168">
        <v>10.108644307982996</v>
      </c>
      <c r="K194" s="168">
        <v>10.722720831365139</v>
      </c>
      <c r="L194" s="168">
        <v>15.777042985356637</v>
      </c>
      <c r="M194" s="168">
        <v>13.273500236183278</v>
      </c>
    </row>
    <row r="195" spans="2:13" x14ac:dyDescent="0.2">
      <c r="B195" s="189" t="s">
        <v>347</v>
      </c>
      <c r="C195" s="170">
        <v>457</v>
      </c>
      <c r="D195" s="168">
        <v>17.067833698030636</v>
      </c>
      <c r="E195" s="168">
        <v>33.260393873085341</v>
      </c>
      <c r="F195" s="168">
        <v>39.606126914660834</v>
      </c>
      <c r="G195" s="168">
        <v>8.0962800875273526</v>
      </c>
      <c r="H195" s="168">
        <v>1.9693654266958425</v>
      </c>
      <c r="I195" s="168">
        <v>47.264770240700216</v>
      </c>
      <c r="J195" s="168">
        <v>9.62800875273523</v>
      </c>
      <c r="K195" s="168">
        <v>12.253829321663019</v>
      </c>
      <c r="L195" s="168">
        <v>17.286652078774615</v>
      </c>
      <c r="M195" s="168">
        <v>13.566739606126914</v>
      </c>
    </row>
    <row r="196" spans="2:13" x14ac:dyDescent="0.2">
      <c r="B196" s="189" t="s">
        <v>348</v>
      </c>
      <c r="C196" s="170">
        <v>2405</v>
      </c>
      <c r="D196" s="168">
        <v>18.918918918918919</v>
      </c>
      <c r="E196" s="168">
        <v>29.355509355509355</v>
      </c>
      <c r="F196" s="168">
        <v>38.128898128898129</v>
      </c>
      <c r="G196" s="168">
        <v>9.5218295218295221</v>
      </c>
      <c r="H196" s="168">
        <v>4.0748440748440746</v>
      </c>
      <c r="I196" s="168">
        <v>57.505197505197508</v>
      </c>
      <c r="J196" s="168">
        <v>8.6486486486486491</v>
      </c>
      <c r="K196" s="168">
        <v>8.9812889812889818</v>
      </c>
      <c r="L196" s="168">
        <v>12.349272349272349</v>
      </c>
      <c r="M196" s="168">
        <v>12.515592515592516</v>
      </c>
    </row>
    <row r="197" spans="2:13" x14ac:dyDescent="0.2">
      <c r="B197" s="189" t="s">
        <v>349</v>
      </c>
      <c r="C197" s="170">
        <v>501</v>
      </c>
      <c r="D197" s="168">
        <v>21.556886227544911</v>
      </c>
      <c r="E197" s="168">
        <v>31.936127744510976</v>
      </c>
      <c r="F197" s="168">
        <v>33.133732534930139</v>
      </c>
      <c r="G197" s="168">
        <v>9.780439121756487</v>
      </c>
      <c r="H197" s="168">
        <v>3.5928143712574849</v>
      </c>
      <c r="I197" s="168">
        <v>57.28542914171657</v>
      </c>
      <c r="J197" s="168">
        <v>7.584830339321357</v>
      </c>
      <c r="K197" s="168">
        <v>8.5828343313373257</v>
      </c>
      <c r="L197" s="168">
        <v>12.574850299401197</v>
      </c>
      <c r="M197" s="168">
        <v>13.972055888223553</v>
      </c>
    </row>
    <row r="198" spans="2:13" x14ac:dyDescent="0.2">
      <c r="B198" s="189" t="s">
        <v>350</v>
      </c>
      <c r="C198" s="170">
        <v>1590</v>
      </c>
      <c r="D198" s="168">
        <v>20.817610062893081</v>
      </c>
      <c r="E198" s="168">
        <v>31.509433962264151</v>
      </c>
      <c r="F198" s="168">
        <v>36.226415094339622</v>
      </c>
      <c r="G198" s="168">
        <v>7.9874213836477983</v>
      </c>
      <c r="H198" s="168">
        <v>3.459119496855346</v>
      </c>
      <c r="I198" s="168">
        <v>54.025157232704402</v>
      </c>
      <c r="J198" s="168">
        <v>8.8679245283018862</v>
      </c>
      <c r="K198" s="168">
        <v>9.8742138364779866</v>
      </c>
      <c r="L198" s="168">
        <v>15.345911949685535</v>
      </c>
      <c r="M198" s="168">
        <v>11.886792452830189</v>
      </c>
    </row>
    <row r="199" spans="2:13" x14ac:dyDescent="0.2">
      <c r="B199" s="189" t="s">
        <v>351</v>
      </c>
      <c r="C199" s="170">
        <v>7374</v>
      </c>
      <c r="D199" s="168">
        <v>17.927854624355845</v>
      </c>
      <c r="E199" s="168">
        <v>30.078654732845131</v>
      </c>
      <c r="F199" s="168">
        <v>40.873338757797669</v>
      </c>
      <c r="G199" s="168">
        <v>8.5706536479522644</v>
      </c>
      <c r="H199" s="168">
        <v>2.5494982370490913</v>
      </c>
      <c r="I199" s="168">
        <v>62.110116625983181</v>
      </c>
      <c r="J199" s="168">
        <v>9.5334960672633571</v>
      </c>
      <c r="K199" s="168">
        <v>9.0317331163547596</v>
      </c>
      <c r="L199" s="168">
        <v>10.455655004068348</v>
      </c>
      <c r="M199" s="168">
        <v>8.868999186330349</v>
      </c>
    </row>
    <row r="200" spans="2:13" x14ac:dyDescent="0.2">
      <c r="B200" s="189" t="s">
        <v>352</v>
      </c>
      <c r="C200" s="170">
        <v>666</v>
      </c>
      <c r="D200" s="168">
        <v>20.27027027027027</v>
      </c>
      <c r="E200" s="168">
        <v>30.18018018018018</v>
      </c>
      <c r="F200" s="168">
        <v>37.537537537537538</v>
      </c>
      <c r="G200" s="168">
        <v>8.8588588588588593</v>
      </c>
      <c r="H200" s="168">
        <v>3.1531531531531534</v>
      </c>
      <c r="I200" s="168">
        <v>56.306306306306304</v>
      </c>
      <c r="J200" s="168">
        <v>7.9579579579579578</v>
      </c>
      <c r="K200" s="168">
        <v>10.06006006006006</v>
      </c>
      <c r="L200" s="168">
        <v>13.063063063063064</v>
      </c>
      <c r="M200" s="168">
        <v>12.612612612612613</v>
      </c>
    </row>
    <row r="201" spans="2:13" x14ac:dyDescent="0.2">
      <c r="B201" s="189" t="s">
        <v>353</v>
      </c>
      <c r="C201" s="170">
        <v>4666</v>
      </c>
      <c r="D201" s="168">
        <v>18.838405486498072</v>
      </c>
      <c r="E201" s="168">
        <v>28.675525075010714</v>
      </c>
      <c r="F201" s="168">
        <v>39.369909987141021</v>
      </c>
      <c r="G201" s="168">
        <v>9.2156022288898409</v>
      </c>
      <c r="H201" s="168">
        <v>3.9005572224603515</v>
      </c>
      <c r="I201" s="168">
        <v>55.12216030861552</v>
      </c>
      <c r="J201" s="168">
        <v>8.7226746678096863</v>
      </c>
      <c r="K201" s="168">
        <v>9.8585512216030864</v>
      </c>
      <c r="L201" s="168">
        <v>13.35190741534505</v>
      </c>
      <c r="M201" s="168">
        <v>12.944706386626661</v>
      </c>
    </row>
    <row r="202" spans="2:13" x14ac:dyDescent="0.2">
      <c r="B202" s="189" t="s">
        <v>354</v>
      </c>
      <c r="C202" s="170">
        <v>2048</v>
      </c>
      <c r="D202" s="168">
        <v>17.431640625</v>
      </c>
      <c r="E202" s="168">
        <v>31.787109375</v>
      </c>
      <c r="F202" s="168">
        <v>40.8203125</v>
      </c>
      <c r="G202" s="168">
        <v>7.958984375</v>
      </c>
      <c r="H202" s="168">
        <v>2.001953125</v>
      </c>
      <c r="I202" s="168">
        <v>57.12890625</v>
      </c>
      <c r="J202" s="168">
        <v>8.3984375</v>
      </c>
      <c r="K202" s="168">
        <v>9.66796875</v>
      </c>
      <c r="L202" s="168">
        <v>14.208984375</v>
      </c>
      <c r="M202" s="168">
        <v>10.595703125</v>
      </c>
    </row>
    <row r="203" spans="2:13" x14ac:dyDescent="0.2">
      <c r="B203" s="189" t="s">
        <v>355</v>
      </c>
      <c r="C203" s="170">
        <v>607</v>
      </c>
      <c r="D203" s="168">
        <v>18.12191103789127</v>
      </c>
      <c r="E203" s="168">
        <v>31.301482701812191</v>
      </c>
      <c r="F203" s="168">
        <v>40.691927512355846</v>
      </c>
      <c r="G203" s="168">
        <v>6.7545304777594728</v>
      </c>
      <c r="H203" s="168">
        <v>3.1301482701812193</v>
      </c>
      <c r="I203" s="168">
        <v>48.929159802306422</v>
      </c>
      <c r="J203" s="168">
        <v>11.037891268533773</v>
      </c>
      <c r="K203" s="168">
        <v>11.86161449752883</v>
      </c>
      <c r="L203" s="168">
        <v>14.827018121911038</v>
      </c>
      <c r="M203" s="168">
        <v>13.344316309719934</v>
      </c>
    </row>
    <row r="204" spans="2:13" x14ac:dyDescent="0.2">
      <c r="B204" s="189" t="s">
        <v>356</v>
      </c>
      <c r="C204" s="170">
        <v>2587</v>
      </c>
      <c r="D204" s="168">
        <v>18.979512949362196</v>
      </c>
      <c r="E204" s="168">
        <v>31.774255894858911</v>
      </c>
      <c r="F204" s="168">
        <v>37.61113258600696</v>
      </c>
      <c r="G204" s="168">
        <v>9.122535755701584</v>
      </c>
      <c r="H204" s="168">
        <v>2.512562814070352</v>
      </c>
      <c r="I204" s="168">
        <v>55.740239659837648</v>
      </c>
      <c r="J204" s="168">
        <v>9.5863935059914951</v>
      </c>
      <c r="K204" s="168">
        <v>10.243525318902204</v>
      </c>
      <c r="L204" s="168">
        <v>13.722458446076537</v>
      </c>
      <c r="M204" s="168">
        <v>10.707383069192115</v>
      </c>
    </row>
    <row r="205" spans="2:13" x14ac:dyDescent="0.2">
      <c r="B205" s="189" t="s">
        <v>357</v>
      </c>
      <c r="C205" s="170">
        <v>749</v>
      </c>
      <c r="D205" s="168">
        <v>18.55807743658211</v>
      </c>
      <c r="E205" s="168">
        <v>29.773030707610147</v>
      </c>
      <c r="F205" s="168">
        <v>38.718291054739652</v>
      </c>
      <c r="G205" s="168">
        <v>9.8798397863818419</v>
      </c>
      <c r="H205" s="168">
        <v>3.0707610146862483</v>
      </c>
      <c r="I205" s="168">
        <v>50.467289719626166</v>
      </c>
      <c r="J205" s="168">
        <v>9.7463284379172226</v>
      </c>
      <c r="K205" s="168">
        <v>11.214953271028037</v>
      </c>
      <c r="L205" s="168">
        <v>16.288384512683578</v>
      </c>
      <c r="M205" s="168">
        <v>12.283044058744993</v>
      </c>
    </row>
    <row r="206" spans="2:13" x14ac:dyDescent="0.2">
      <c r="B206" s="189" t="s">
        <v>358</v>
      </c>
      <c r="C206" s="170">
        <v>1040</v>
      </c>
      <c r="D206" s="168">
        <v>20.76923076923077</v>
      </c>
      <c r="E206" s="168">
        <v>26.057692307692307</v>
      </c>
      <c r="F206" s="168">
        <v>41.153846153846153</v>
      </c>
      <c r="G206" s="168">
        <v>9.134615384615385</v>
      </c>
      <c r="H206" s="168">
        <v>2.8846153846153846</v>
      </c>
      <c r="I206" s="168">
        <v>49.03846153846154</v>
      </c>
      <c r="J206" s="168">
        <v>8.0769230769230766</v>
      </c>
      <c r="K206" s="168">
        <v>11.25</v>
      </c>
      <c r="L206" s="168">
        <v>16.923076923076923</v>
      </c>
      <c r="M206" s="168">
        <v>14.711538461538462</v>
      </c>
    </row>
    <row r="207" spans="2:13" x14ac:dyDescent="0.2">
      <c r="B207" s="189" t="s">
        <v>359</v>
      </c>
      <c r="C207" s="170">
        <v>96</v>
      </c>
      <c r="D207" s="168">
        <v>17.708333333333332</v>
      </c>
      <c r="E207" s="168">
        <v>23.958333333333332</v>
      </c>
      <c r="F207" s="168">
        <v>45.833333333333336</v>
      </c>
      <c r="G207" s="168">
        <v>12.5</v>
      </c>
      <c r="H207" s="229" t="s">
        <v>663</v>
      </c>
      <c r="I207" s="168">
        <v>51.041666666666664</v>
      </c>
      <c r="J207" s="168">
        <v>12.5</v>
      </c>
      <c r="K207" s="168">
        <v>9.375</v>
      </c>
      <c r="L207" s="168">
        <v>14.583333333333334</v>
      </c>
      <c r="M207" s="168">
        <v>12.5</v>
      </c>
    </row>
    <row r="208" spans="2:13" x14ac:dyDescent="0.2">
      <c r="B208" s="189" t="s">
        <v>360</v>
      </c>
      <c r="C208" s="170">
        <v>6897</v>
      </c>
      <c r="D208" s="168">
        <v>18.77627954182978</v>
      </c>
      <c r="E208" s="168">
        <v>27.968682035667683</v>
      </c>
      <c r="F208" s="168">
        <v>38.089024213426129</v>
      </c>
      <c r="G208" s="168">
        <v>9.9898506597071197</v>
      </c>
      <c r="H208" s="168">
        <v>5.1761635493692912</v>
      </c>
      <c r="I208" s="168">
        <v>52.994055386399886</v>
      </c>
      <c r="J208" s="168">
        <v>10.584312019718718</v>
      </c>
      <c r="K208" s="168">
        <v>9.58387704799188</v>
      </c>
      <c r="L208" s="168">
        <v>12.643178193417429</v>
      </c>
      <c r="M208" s="168">
        <v>14.19457735247209</v>
      </c>
    </row>
    <row r="209" spans="2:13" x14ac:dyDescent="0.2">
      <c r="B209" s="188" t="s">
        <v>361</v>
      </c>
      <c r="C209" s="169">
        <v>17684</v>
      </c>
      <c r="D209" s="167">
        <v>20.221669305586971</v>
      </c>
      <c r="E209" s="167">
        <v>26.56073286586745</v>
      </c>
      <c r="F209" s="167">
        <v>38.390635602804792</v>
      </c>
      <c r="G209" s="167">
        <v>10.546256503053607</v>
      </c>
      <c r="H209" s="167">
        <v>4.2807057226871752</v>
      </c>
      <c r="I209" s="167">
        <v>52.448541054060165</v>
      </c>
      <c r="J209" s="167">
        <v>8.6292693960642382</v>
      </c>
      <c r="K209" s="167">
        <v>9.8337480208097716</v>
      </c>
      <c r="L209" s="167">
        <v>14.487672472291337</v>
      </c>
      <c r="M209" s="167">
        <v>14.600769056774485</v>
      </c>
    </row>
    <row r="210" spans="2:13" x14ac:dyDescent="0.2">
      <c r="B210" s="189" t="s">
        <v>362</v>
      </c>
      <c r="C210" s="170">
        <v>2288</v>
      </c>
      <c r="D210" s="168">
        <v>20.673076923076923</v>
      </c>
      <c r="E210" s="168">
        <v>27.316433566433567</v>
      </c>
      <c r="F210" s="168">
        <v>37.805944055944053</v>
      </c>
      <c r="G210" s="168">
        <v>9.965034965034965</v>
      </c>
      <c r="H210" s="168">
        <v>4.2395104895104891</v>
      </c>
      <c r="I210" s="168">
        <v>52.36013986013986</v>
      </c>
      <c r="J210" s="168">
        <v>9.2220279720279716</v>
      </c>
      <c r="K210" s="168">
        <v>8.6975524475524484</v>
      </c>
      <c r="L210" s="168">
        <v>14.685314685314685</v>
      </c>
      <c r="M210" s="168">
        <v>15.034965034965035</v>
      </c>
    </row>
    <row r="211" spans="2:13" x14ac:dyDescent="0.2">
      <c r="B211" s="189" t="s">
        <v>363</v>
      </c>
      <c r="C211" s="170">
        <v>152</v>
      </c>
      <c r="D211" s="168">
        <v>25.657894736842106</v>
      </c>
      <c r="E211" s="168">
        <v>23.684210526315791</v>
      </c>
      <c r="F211" s="168">
        <v>34.210526315789473</v>
      </c>
      <c r="G211" s="168">
        <v>16.447368399999998</v>
      </c>
      <c r="H211" s="229" t="s">
        <v>663</v>
      </c>
      <c r="I211" s="168">
        <v>59.868421052631582</v>
      </c>
      <c r="J211" s="168">
        <v>7.2368421052631575</v>
      </c>
      <c r="K211" s="168">
        <v>5.9210526315789478</v>
      </c>
      <c r="L211" s="168">
        <v>15.789473684210526</v>
      </c>
      <c r="M211" s="168">
        <v>11.184210526315789</v>
      </c>
    </row>
    <row r="212" spans="2:13" x14ac:dyDescent="0.2">
      <c r="B212" s="223" t="s">
        <v>364</v>
      </c>
      <c r="C212" s="170">
        <v>88</v>
      </c>
      <c r="D212" s="168">
        <v>20.454545454545453</v>
      </c>
      <c r="E212" s="168">
        <v>23.863636363636363</v>
      </c>
      <c r="F212" s="168">
        <v>38.636363636363633</v>
      </c>
      <c r="G212" s="168">
        <v>17.045454500000002</v>
      </c>
      <c r="H212" s="229" t="s">
        <v>663</v>
      </c>
      <c r="I212" s="168">
        <v>38.636363636363633</v>
      </c>
      <c r="J212" s="168">
        <v>9.0909090909090917</v>
      </c>
      <c r="K212" s="168">
        <v>9.0909090909090917</v>
      </c>
      <c r="L212" s="168">
        <v>19.318181818181817</v>
      </c>
      <c r="M212" s="168">
        <v>23.863636363636363</v>
      </c>
    </row>
    <row r="213" spans="2:13" x14ac:dyDescent="0.2">
      <c r="B213" s="189" t="s">
        <v>365</v>
      </c>
      <c r="C213" s="170">
        <v>2003</v>
      </c>
      <c r="D213" s="168">
        <v>20.519221168247629</v>
      </c>
      <c r="E213" s="168">
        <v>28.15776335496755</v>
      </c>
      <c r="F213" s="168">
        <v>38.791812281577634</v>
      </c>
      <c r="G213" s="168">
        <v>9.3359960059910136</v>
      </c>
      <c r="H213" s="168">
        <v>3.1952071892161755</v>
      </c>
      <c r="I213" s="168">
        <v>55.167249126310537</v>
      </c>
      <c r="J213" s="168">
        <v>8.2875686470294561</v>
      </c>
      <c r="K213" s="168">
        <v>10.334498252621069</v>
      </c>
      <c r="L213" s="168">
        <v>13.62955566650025</v>
      </c>
      <c r="M213" s="168">
        <v>12.581128307538693</v>
      </c>
    </row>
    <row r="214" spans="2:13" x14ac:dyDescent="0.2">
      <c r="B214" s="189" t="s">
        <v>366</v>
      </c>
      <c r="C214" s="170">
        <v>2088</v>
      </c>
      <c r="D214" s="168">
        <v>20.737547892720308</v>
      </c>
      <c r="E214" s="168">
        <v>26.819923371647509</v>
      </c>
      <c r="F214" s="168">
        <v>38.505747126436781</v>
      </c>
      <c r="G214" s="168">
        <v>9.4827586206896548</v>
      </c>
      <c r="H214" s="168">
        <v>4.4540229885057467</v>
      </c>
      <c r="I214" s="168">
        <v>58.045977011494251</v>
      </c>
      <c r="J214" s="168">
        <v>7.6628352490421454</v>
      </c>
      <c r="K214" s="168">
        <v>8.5727969348659006</v>
      </c>
      <c r="L214" s="168">
        <v>11.590038314176246</v>
      </c>
      <c r="M214" s="168">
        <v>14.128352490421456</v>
      </c>
    </row>
    <row r="215" spans="2:13" x14ac:dyDescent="0.2">
      <c r="B215" s="189" t="s">
        <v>367</v>
      </c>
      <c r="C215" s="170">
        <v>1051</v>
      </c>
      <c r="D215" s="168">
        <v>19.124643196955279</v>
      </c>
      <c r="E215" s="168">
        <v>22.835394862036157</v>
      </c>
      <c r="F215" s="168">
        <v>40.532825880114174</v>
      </c>
      <c r="G215" s="168">
        <v>11.417697431018079</v>
      </c>
      <c r="H215" s="168">
        <v>6.0894386298763079</v>
      </c>
      <c r="I215" s="168">
        <v>47.764034253092291</v>
      </c>
      <c r="J215" s="168">
        <v>9.1341579448144632</v>
      </c>
      <c r="K215" s="168">
        <v>9.4196003805899142</v>
      </c>
      <c r="L215" s="168">
        <v>15.318744053282588</v>
      </c>
      <c r="M215" s="168">
        <v>18.363463368220742</v>
      </c>
    </row>
    <row r="216" spans="2:13" x14ac:dyDescent="0.2">
      <c r="B216" s="189" t="s">
        <v>368</v>
      </c>
      <c r="C216" s="170">
        <v>202</v>
      </c>
      <c r="D216" s="168">
        <v>18.811881188118811</v>
      </c>
      <c r="E216" s="168">
        <v>23.762376237623762</v>
      </c>
      <c r="F216" s="168">
        <v>42.079207920792079</v>
      </c>
      <c r="G216" s="168">
        <v>12.376237623762377</v>
      </c>
      <c r="H216" s="168">
        <v>2.9702970297029703</v>
      </c>
      <c r="I216" s="168">
        <v>53.960396039603964</v>
      </c>
      <c r="J216" s="168">
        <v>7.9207920792079207</v>
      </c>
      <c r="K216" s="168">
        <v>11.881188118811881</v>
      </c>
      <c r="L216" s="168">
        <v>13.861386138613861</v>
      </c>
      <c r="M216" s="168">
        <v>12.376237623762377</v>
      </c>
    </row>
    <row r="217" spans="2:13" x14ac:dyDescent="0.2">
      <c r="B217" s="189" t="s">
        <v>369</v>
      </c>
      <c r="C217" s="170">
        <v>438</v>
      </c>
      <c r="D217" s="168">
        <v>20.319634703196346</v>
      </c>
      <c r="E217" s="168">
        <v>26.940639269406393</v>
      </c>
      <c r="F217" s="168">
        <v>36.073059360730596</v>
      </c>
      <c r="G217" s="168">
        <v>12.100456621004566</v>
      </c>
      <c r="H217" s="168">
        <v>4.5662100456621006</v>
      </c>
      <c r="I217" s="168">
        <v>42.465753424657535</v>
      </c>
      <c r="J217" s="168">
        <v>10.045662100456621</v>
      </c>
      <c r="K217" s="168">
        <v>11.643835616438356</v>
      </c>
      <c r="L217" s="168">
        <v>22.146118721461189</v>
      </c>
      <c r="M217" s="168">
        <v>13.698630136986301</v>
      </c>
    </row>
    <row r="218" spans="2:13" x14ac:dyDescent="0.2">
      <c r="B218" s="189" t="s">
        <v>370</v>
      </c>
      <c r="C218" s="170">
        <v>222</v>
      </c>
      <c r="D218" s="168">
        <v>19.36936936936937</v>
      </c>
      <c r="E218" s="168">
        <v>27.477477477477478</v>
      </c>
      <c r="F218" s="168">
        <v>35.585585585585584</v>
      </c>
      <c r="G218" s="168">
        <v>12.612612612612613</v>
      </c>
      <c r="H218" s="168">
        <v>4.954954954954955</v>
      </c>
      <c r="I218" s="168">
        <v>54.954954954954957</v>
      </c>
      <c r="J218" s="168">
        <v>5.4054054054054053</v>
      </c>
      <c r="K218" s="168">
        <v>11.261261261261261</v>
      </c>
      <c r="L218" s="168">
        <v>13.513513513513514</v>
      </c>
      <c r="M218" s="168">
        <v>14.864864864864865</v>
      </c>
    </row>
    <row r="219" spans="2:13" x14ac:dyDescent="0.2">
      <c r="B219" s="189" t="s">
        <v>371</v>
      </c>
      <c r="C219" s="170">
        <v>1873</v>
      </c>
      <c r="D219" s="168">
        <v>20.822210357714894</v>
      </c>
      <c r="E219" s="168">
        <v>28.457020822210357</v>
      </c>
      <c r="F219" s="168">
        <v>35.985050720768818</v>
      </c>
      <c r="G219" s="168">
        <v>10.197544046983449</v>
      </c>
      <c r="H219" s="168">
        <v>4.5381740523224776</v>
      </c>
      <c r="I219" s="168">
        <v>53.92418579818473</v>
      </c>
      <c r="J219" s="168">
        <v>8.3822744260544582</v>
      </c>
      <c r="K219" s="168">
        <v>9.6636412172984514</v>
      </c>
      <c r="L219" s="168">
        <v>13.721302722904431</v>
      </c>
      <c r="M219" s="168">
        <v>14.308595835557929</v>
      </c>
    </row>
    <row r="220" spans="2:13" x14ac:dyDescent="0.2">
      <c r="B220" s="189" t="s">
        <v>372</v>
      </c>
      <c r="C220" s="170">
        <v>836</v>
      </c>
      <c r="D220" s="168">
        <v>21.770334928229666</v>
      </c>
      <c r="E220" s="168">
        <v>27.990430622009569</v>
      </c>
      <c r="F220" s="168">
        <v>40.909090909090907</v>
      </c>
      <c r="G220" s="168">
        <v>7.535885167464115</v>
      </c>
      <c r="H220" s="168">
        <v>1.7942583732057416</v>
      </c>
      <c r="I220" s="168">
        <v>58.253588516746412</v>
      </c>
      <c r="J220" s="168">
        <v>10.406698564593301</v>
      </c>
      <c r="K220" s="168">
        <v>10.885167464114833</v>
      </c>
      <c r="L220" s="168">
        <v>12.440191387559809</v>
      </c>
      <c r="M220" s="168">
        <v>8.0143540669856463</v>
      </c>
    </row>
    <row r="221" spans="2:13" x14ac:dyDescent="0.2">
      <c r="B221" s="189" t="s">
        <v>373</v>
      </c>
      <c r="C221" s="170">
        <v>665</v>
      </c>
      <c r="D221" s="168">
        <v>18.045112781954888</v>
      </c>
      <c r="E221" s="168">
        <v>26.766917293233082</v>
      </c>
      <c r="F221" s="168">
        <v>42.556390977443606</v>
      </c>
      <c r="G221" s="168">
        <v>9.473684210526315</v>
      </c>
      <c r="H221" s="168">
        <v>3.1578947368421053</v>
      </c>
      <c r="I221" s="168">
        <v>44.360902255639097</v>
      </c>
      <c r="J221" s="168">
        <v>9.1729323308270683</v>
      </c>
      <c r="K221" s="168">
        <v>9.7744360902255636</v>
      </c>
      <c r="L221" s="168">
        <v>18.646616541353385</v>
      </c>
      <c r="M221" s="168">
        <v>18.045112781954888</v>
      </c>
    </row>
    <row r="222" spans="2:13" x14ac:dyDescent="0.2">
      <c r="B222" s="189" t="s">
        <v>556</v>
      </c>
      <c r="C222" s="170">
        <v>1375</v>
      </c>
      <c r="D222" s="168">
        <v>19.054545454545455</v>
      </c>
      <c r="E222" s="168">
        <v>24.8</v>
      </c>
      <c r="F222" s="168">
        <v>35.781818181818181</v>
      </c>
      <c r="G222" s="168">
        <v>14.181818181818182</v>
      </c>
      <c r="H222" s="168">
        <v>6.1818181818181817</v>
      </c>
      <c r="I222" s="168">
        <v>52.290909090909089</v>
      </c>
      <c r="J222" s="168">
        <v>7.6363636363636367</v>
      </c>
      <c r="K222" s="168">
        <v>10.036363636363637</v>
      </c>
      <c r="L222" s="168">
        <v>13.527272727272727</v>
      </c>
      <c r="M222" s="168">
        <v>16.509090909090908</v>
      </c>
    </row>
    <row r="223" spans="2:13" x14ac:dyDescent="0.2">
      <c r="B223" s="189" t="s">
        <v>374</v>
      </c>
      <c r="C223" s="170">
        <v>1198</v>
      </c>
      <c r="D223" s="168">
        <v>21.368948247078464</v>
      </c>
      <c r="E223" s="168">
        <v>27.629382303839733</v>
      </c>
      <c r="F223" s="168">
        <v>37.979966611018362</v>
      </c>
      <c r="G223" s="168">
        <v>9.9332220367278801</v>
      </c>
      <c r="H223" s="168">
        <v>3.0884808013355594</v>
      </c>
      <c r="I223" s="168">
        <v>48.080133555926544</v>
      </c>
      <c r="J223" s="168">
        <v>8.5976627712854761</v>
      </c>
      <c r="K223" s="168">
        <v>11.602671118530886</v>
      </c>
      <c r="L223" s="168">
        <v>17.362270450751254</v>
      </c>
      <c r="M223" s="168">
        <v>14.357262103505843</v>
      </c>
    </row>
    <row r="224" spans="2:13" x14ac:dyDescent="0.2">
      <c r="B224" s="189" t="s">
        <v>375</v>
      </c>
      <c r="C224" s="170">
        <v>132</v>
      </c>
      <c r="D224" s="168">
        <v>16.666666666666668</v>
      </c>
      <c r="E224" s="168">
        <v>34.848484848484851</v>
      </c>
      <c r="F224" s="168">
        <v>37.121212121212125</v>
      </c>
      <c r="G224" s="168">
        <v>7.5757575757575761</v>
      </c>
      <c r="H224" s="168">
        <v>3.7878787878787881</v>
      </c>
      <c r="I224" s="168">
        <v>41.666666666666664</v>
      </c>
      <c r="J224" s="168">
        <v>15.909090909090908</v>
      </c>
      <c r="K224" s="168">
        <v>9.8484848484848477</v>
      </c>
      <c r="L224" s="168">
        <v>15.909090909090908</v>
      </c>
      <c r="M224" s="168">
        <v>16.666666666666668</v>
      </c>
    </row>
    <row r="225" spans="2:13" x14ac:dyDescent="0.2">
      <c r="B225" s="189" t="s">
        <v>557</v>
      </c>
      <c r="C225" s="170">
        <v>511</v>
      </c>
      <c r="D225" s="168">
        <v>22.896281800391389</v>
      </c>
      <c r="E225" s="168">
        <v>27.201565557729943</v>
      </c>
      <c r="F225" s="168">
        <v>39.530332681017612</v>
      </c>
      <c r="G225" s="168">
        <v>8.0234833659491187</v>
      </c>
      <c r="H225" s="168">
        <v>2.3483365949119372</v>
      </c>
      <c r="I225" s="168">
        <v>60.273972602739725</v>
      </c>
      <c r="J225" s="168">
        <v>7.0450097847358117</v>
      </c>
      <c r="K225" s="168">
        <v>11.350293542074365</v>
      </c>
      <c r="L225" s="168">
        <v>12.720156555772995</v>
      </c>
      <c r="M225" s="168">
        <v>8.6105675146771041</v>
      </c>
    </row>
    <row r="226" spans="2:13" x14ac:dyDescent="0.2">
      <c r="B226" s="189" t="s">
        <v>376</v>
      </c>
      <c r="C226" s="170">
        <v>370</v>
      </c>
      <c r="D226" s="168">
        <v>22.972972972972972</v>
      </c>
      <c r="E226" s="168">
        <v>24.054054054054053</v>
      </c>
      <c r="F226" s="168">
        <v>39.189189189189186</v>
      </c>
      <c r="G226" s="168">
        <v>8.9189189189189193</v>
      </c>
      <c r="H226" s="168">
        <v>4.8648648648648649</v>
      </c>
      <c r="I226" s="168">
        <v>62.432432432432435</v>
      </c>
      <c r="J226" s="168">
        <v>7.5675675675675675</v>
      </c>
      <c r="K226" s="168">
        <v>8.378378378378379</v>
      </c>
      <c r="L226" s="168">
        <v>11.081081081081081</v>
      </c>
      <c r="M226" s="168">
        <v>10.54054054054054</v>
      </c>
    </row>
    <row r="227" spans="2:13" x14ac:dyDescent="0.2">
      <c r="B227" s="189" t="s">
        <v>377</v>
      </c>
      <c r="C227" s="170">
        <v>142</v>
      </c>
      <c r="D227" s="168">
        <v>23.943661971830984</v>
      </c>
      <c r="E227" s="168">
        <v>30.281690140845072</v>
      </c>
      <c r="F227" s="168">
        <v>33.802816901408448</v>
      </c>
      <c r="G227" s="168">
        <v>11.971831</v>
      </c>
      <c r="H227" s="229" t="s">
        <v>663</v>
      </c>
      <c r="I227" s="168">
        <v>63.380281690140848</v>
      </c>
      <c r="J227" s="168">
        <v>7.042253521126761</v>
      </c>
      <c r="K227" s="168">
        <v>4.225352112676056</v>
      </c>
      <c r="L227" s="168">
        <v>12.67605633802817</v>
      </c>
      <c r="M227" s="168">
        <v>12.67605633802817</v>
      </c>
    </row>
    <row r="228" spans="2:13" x14ac:dyDescent="0.2">
      <c r="B228" s="189" t="s">
        <v>378</v>
      </c>
      <c r="C228" s="170">
        <v>734</v>
      </c>
      <c r="D228" s="168">
        <v>16.757493188010898</v>
      </c>
      <c r="E228" s="168">
        <v>22.343324250681199</v>
      </c>
      <c r="F228" s="168">
        <v>39.509536784741144</v>
      </c>
      <c r="G228" s="168">
        <v>14.30517711171662</v>
      </c>
      <c r="H228" s="168">
        <v>7.084468664850136</v>
      </c>
      <c r="I228" s="168">
        <v>40.326975476839237</v>
      </c>
      <c r="J228" s="168">
        <v>8.5831062670299723</v>
      </c>
      <c r="K228" s="168">
        <v>11.1716621253406</v>
      </c>
      <c r="L228" s="168">
        <v>18.528610354223432</v>
      </c>
      <c r="M228" s="168">
        <v>21.389645776566759</v>
      </c>
    </row>
    <row r="229" spans="2:13" x14ac:dyDescent="0.2">
      <c r="B229" s="189" t="s">
        <v>379</v>
      </c>
      <c r="C229" s="170">
        <v>330</v>
      </c>
      <c r="D229" s="168">
        <v>16.666666666666668</v>
      </c>
      <c r="E229" s="168">
        <v>26.060606060606062</v>
      </c>
      <c r="F229" s="168">
        <v>40</v>
      </c>
      <c r="G229" s="168">
        <v>11.515151515151516</v>
      </c>
      <c r="H229" s="168">
        <v>5.7575757575757578</v>
      </c>
      <c r="I229" s="168">
        <v>56.363636363636367</v>
      </c>
      <c r="J229" s="168">
        <v>9.0909090909090917</v>
      </c>
      <c r="K229" s="168">
        <v>8.1818181818181817</v>
      </c>
      <c r="L229" s="168">
        <v>13.333333333333334</v>
      </c>
      <c r="M229" s="168">
        <v>13.030303030303031</v>
      </c>
    </row>
    <row r="230" spans="2:13" x14ac:dyDescent="0.2">
      <c r="B230" s="189" t="s">
        <v>380</v>
      </c>
      <c r="C230" s="170">
        <v>603</v>
      </c>
      <c r="D230" s="168">
        <v>16.417910447761194</v>
      </c>
      <c r="E230" s="168">
        <v>26.202321724709783</v>
      </c>
      <c r="F230" s="168">
        <v>40.298507462686565</v>
      </c>
      <c r="G230" s="168">
        <v>12.603648424543946</v>
      </c>
      <c r="H230" s="168">
        <v>4.4776119402985071</v>
      </c>
      <c r="I230" s="168">
        <v>47.761194029850749</v>
      </c>
      <c r="J230" s="168">
        <v>9.7844112769485907</v>
      </c>
      <c r="K230" s="168">
        <v>10.447761194029852</v>
      </c>
      <c r="L230" s="168">
        <v>14.262023217247098</v>
      </c>
      <c r="M230" s="168">
        <v>17.744610281923716</v>
      </c>
    </row>
    <row r="231" spans="2:13" x14ac:dyDescent="0.2">
      <c r="B231" s="189" t="s">
        <v>381</v>
      </c>
      <c r="C231" s="170">
        <v>199</v>
      </c>
      <c r="D231" s="168">
        <v>23.618090452261306</v>
      </c>
      <c r="E231" s="168">
        <v>18.090452261306531</v>
      </c>
      <c r="F231" s="168">
        <v>41.206030150753769</v>
      </c>
      <c r="G231" s="168">
        <v>13.06532663316583</v>
      </c>
      <c r="H231" s="168">
        <v>4.0201005025125625</v>
      </c>
      <c r="I231" s="168">
        <v>45.226130653266331</v>
      </c>
      <c r="J231" s="168">
        <v>10.552763819095478</v>
      </c>
      <c r="K231" s="168">
        <v>9.0452261306532655</v>
      </c>
      <c r="L231" s="168">
        <v>16.08040201005025</v>
      </c>
      <c r="M231" s="168">
        <v>19.095477386934672</v>
      </c>
    </row>
    <row r="232" spans="2:13" x14ac:dyDescent="0.2">
      <c r="B232" s="189" t="s">
        <v>382</v>
      </c>
      <c r="C232" s="170">
        <v>184</v>
      </c>
      <c r="D232" s="168">
        <v>21.195652173913043</v>
      </c>
      <c r="E232" s="168">
        <v>25</v>
      </c>
      <c r="F232" s="168">
        <v>39.130434782608695</v>
      </c>
      <c r="G232" s="168">
        <v>9.7826086956521738</v>
      </c>
      <c r="H232" s="168">
        <v>4.8913043478260869</v>
      </c>
      <c r="I232" s="168">
        <v>46.195652173913047</v>
      </c>
      <c r="J232" s="168">
        <v>11.413043478260869</v>
      </c>
      <c r="K232" s="168">
        <v>14.130434782608695</v>
      </c>
      <c r="L232" s="168">
        <v>17.391304347826086</v>
      </c>
      <c r="M232" s="168">
        <v>10.869565217391305</v>
      </c>
    </row>
    <row r="234" spans="2:13" ht="27" customHeight="1" x14ac:dyDescent="0.2">
      <c r="B234" s="317" t="s">
        <v>666</v>
      </c>
      <c r="C234" s="317"/>
      <c r="D234" s="317"/>
      <c r="E234" s="302"/>
      <c r="F234" s="302"/>
      <c r="G234" s="302"/>
      <c r="H234" s="302"/>
      <c r="I234" s="302"/>
      <c r="J234" s="302"/>
      <c r="K234" s="302"/>
      <c r="L234" s="302"/>
      <c r="M234" s="302"/>
    </row>
    <row r="235" spans="2:13" x14ac:dyDescent="0.2">
      <c r="B235" s="6"/>
      <c r="C235" s="6"/>
      <c r="D235" s="6"/>
      <c r="E235" s="126"/>
      <c r="F235" s="126"/>
      <c r="G235" s="126"/>
      <c r="H235" s="126"/>
      <c r="I235" s="126"/>
      <c r="J235" s="126"/>
      <c r="K235" s="126"/>
      <c r="L235" s="126"/>
      <c r="M235" s="126"/>
    </row>
    <row r="236" spans="2:13" x14ac:dyDescent="0.2">
      <c r="B236" s="323" t="s">
        <v>683</v>
      </c>
      <c r="C236" s="323"/>
      <c r="D236" s="323"/>
      <c r="E236" s="323"/>
      <c r="F236" s="323"/>
      <c r="G236" s="323"/>
      <c r="H236" s="323"/>
      <c r="I236" s="323"/>
      <c r="J236" s="323"/>
      <c r="K236" s="323"/>
      <c r="L236" s="323"/>
      <c r="M236" s="323"/>
    </row>
    <row r="237" spans="2:13" x14ac:dyDescent="0.2">
      <c r="B237" s="6"/>
      <c r="C237" s="6"/>
      <c r="D237" s="6"/>
      <c r="E237" s="126"/>
      <c r="F237" s="126"/>
      <c r="G237" s="126"/>
      <c r="H237" s="126"/>
      <c r="I237" s="126"/>
      <c r="J237" s="126"/>
      <c r="K237" s="126"/>
      <c r="L237" s="126"/>
      <c r="M237" s="126"/>
    </row>
    <row r="238" spans="2:13" x14ac:dyDescent="0.2">
      <c r="B238" s="6"/>
      <c r="C238" s="6"/>
      <c r="D238" s="6"/>
      <c r="E238" s="126"/>
      <c r="F238" s="126"/>
      <c r="G238" s="126"/>
      <c r="H238" s="126"/>
      <c r="I238" s="126"/>
      <c r="J238" s="126"/>
      <c r="K238" s="126"/>
      <c r="L238" s="126"/>
      <c r="M238" s="126"/>
    </row>
    <row r="239" spans="2:13" x14ac:dyDescent="0.2">
      <c r="B239" s="6"/>
      <c r="C239" s="6"/>
      <c r="D239" s="6"/>
      <c r="E239" s="126"/>
      <c r="F239" s="126"/>
      <c r="G239" s="126"/>
      <c r="H239" s="126"/>
      <c r="I239" s="126"/>
      <c r="J239" s="126"/>
      <c r="K239" s="126"/>
      <c r="L239" s="126"/>
      <c r="M239" s="126"/>
    </row>
    <row r="240" spans="2:13" x14ac:dyDescent="0.2">
      <c r="B240" s="6"/>
      <c r="C240" s="6"/>
      <c r="D240" s="6"/>
      <c r="E240" s="126"/>
      <c r="F240" s="126"/>
      <c r="G240" s="126"/>
      <c r="H240" s="126"/>
      <c r="I240" s="126"/>
      <c r="J240" s="126"/>
      <c r="K240" s="126"/>
      <c r="L240" s="126"/>
      <c r="M240" s="126"/>
    </row>
  </sheetData>
  <mergeCells count="6">
    <mergeCell ref="B236:M236"/>
    <mergeCell ref="B234:M234"/>
    <mergeCell ref="D3:H3"/>
    <mergeCell ref="I3:M3"/>
    <mergeCell ref="C3:C4"/>
    <mergeCell ref="B3:B4"/>
  </mergeCells>
  <pageMargins left="0.78740157480314965" right="0.78740157480314965" top="0.98425196850393704" bottom="0.98425196850393704" header="0.51181102362204722" footer="0.51181102362204722"/>
  <pageSetup paperSize="9" scale="82" fitToHeight="0" orientation="landscape" r:id="rId1"/>
  <headerFooter alignWithMargins="0"/>
  <rowBreaks count="5" manualBreakCount="5">
    <brk id="42" max="12" man="1"/>
    <brk id="86" max="12" man="1"/>
    <brk id="130" max="12" man="1"/>
    <brk id="174" max="12" man="1"/>
    <brk id="218" max="12" man="1"/>
  </row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04040"/>
    <pageSetUpPr fitToPage="1"/>
  </sheetPr>
  <dimension ref="B1:W4"/>
  <sheetViews>
    <sheetView view="pageBreakPreview" zoomScaleNormal="100" zoomScaleSheetLayoutView="100" workbookViewId="0">
      <selection activeCell="B1" sqref="B1"/>
    </sheetView>
  </sheetViews>
  <sheetFormatPr baseColWidth="10" defaultRowHeight="12.75" x14ac:dyDescent="0.2"/>
  <cols>
    <col min="1" max="1" width="2" customWidth="1"/>
  </cols>
  <sheetData>
    <row r="1" spans="2:23" ht="15.75" x14ac:dyDescent="0.2">
      <c r="B1" s="224" t="str">
        <f>Inhaltsverzeichnis!B68&amp;" "&amp;Inhaltsverzeichnis!C68&amp;" "&amp;Inhaltsverzeichnis!E68</f>
        <v>Gemeindekarte:  Einfache Kantonssteuer der Pflichtigen mit Wohnsitz im Kanton Aargau nach Gemeinden, in Franken pro Steuerpflichtigen, 2013</v>
      </c>
      <c r="C1" s="224"/>
      <c r="D1" s="224"/>
      <c r="E1" s="224"/>
      <c r="F1" s="224"/>
      <c r="G1" s="224"/>
      <c r="H1" s="224"/>
      <c r="I1" s="224"/>
      <c r="J1" s="224"/>
      <c r="K1" s="224"/>
      <c r="L1" s="224"/>
      <c r="M1" s="224"/>
      <c r="N1" s="224"/>
      <c r="O1" s="224"/>
      <c r="P1" s="224"/>
      <c r="Q1" s="224"/>
      <c r="R1" s="224"/>
      <c r="S1" s="224"/>
      <c r="T1" s="224"/>
      <c r="U1" s="224"/>
      <c r="V1" s="224"/>
      <c r="W1" s="224"/>
    </row>
    <row r="2" spans="2:23" x14ac:dyDescent="0.2">
      <c r="B2" s="125"/>
    </row>
    <row r="4" spans="2:23" x14ac:dyDescent="0.2">
      <c r="B4" s="125"/>
    </row>
  </sheetData>
  <pageMargins left="0.7" right="0.7" top="0.78740157499999996" bottom="0.78740157499999996" header="0.3" footer="0.3"/>
  <pageSetup paperSize="9" scale="55" orientation="portrait"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04040"/>
    <pageSetUpPr fitToPage="1"/>
  </sheetPr>
  <dimension ref="B1:W81"/>
  <sheetViews>
    <sheetView view="pageBreakPreview" zoomScaleNormal="100" zoomScaleSheetLayoutView="100" workbookViewId="0"/>
  </sheetViews>
  <sheetFormatPr baseColWidth="10" defaultRowHeight="12.75" x14ac:dyDescent="0.2"/>
  <cols>
    <col min="1" max="1" width="2" style="1" customWidth="1"/>
    <col min="2" max="2" width="111.140625" style="19" customWidth="1"/>
    <col min="3" max="16384" width="11.42578125" style="1"/>
  </cols>
  <sheetData>
    <row r="1" spans="2:23" s="6" customFormat="1" ht="15.75" x14ac:dyDescent="0.2">
      <c r="B1" s="213" t="str">
        <f>Inhaltsverzeichnis!B71&amp;" "&amp;Inhaltsverzeichnis!C71&amp;" "&amp;Inhaltsverzeichnis!E71</f>
        <v xml:space="preserve">Erläuterungen und Hinweise  </v>
      </c>
      <c r="C1" s="213"/>
      <c r="D1" s="213"/>
      <c r="E1" s="213"/>
      <c r="F1" s="213"/>
      <c r="G1" s="213"/>
      <c r="H1" s="213"/>
      <c r="I1" s="213"/>
      <c r="J1" s="213"/>
      <c r="K1" s="213"/>
      <c r="L1" s="213"/>
      <c r="M1" s="213"/>
      <c r="N1" s="213"/>
      <c r="O1" s="213"/>
      <c r="P1" s="213"/>
      <c r="Q1" s="213"/>
      <c r="R1" s="213"/>
      <c r="S1" s="213"/>
      <c r="T1" s="213"/>
      <c r="U1" s="213"/>
      <c r="V1" s="213"/>
      <c r="W1" s="213"/>
    </row>
    <row r="3" spans="2:23" x14ac:dyDescent="0.2">
      <c r="B3" s="20" t="s">
        <v>392</v>
      </c>
    </row>
    <row r="4" spans="2:23" ht="38.25" x14ac:dyDescent="0.2">
      <c r="B4" s="14" t="s">
        <v>394</v>
      </c>
    </row>
    <row r="5" spans="2:23" hidden="1" x14ac:dyDescent="0.2">
      <c r="B5" s="14"/>
    </row>
    <row r="6" spans="2:23" ht="25.5" hidden="1" x14ac:dyDescent="0.2">
      <c r="B6" s="190" t="s">
        <v>395</v>
      </c>
    </row>
    <row r="7" spans="2:23" x14ac:dyDescent="0.2">
      <c r="B7" s="14"/>
    </row>
    <row r="8" spans="2:23" s="36" customFormat="1" ht="76.5" x14ac:dyDescent="0.2">
      <c r="B8" s="14" t="s">
        <v>658</v>
      </c>
    </row>
    <row r="9" spans="2:23" s="36" customFormat="1" x14ac:dyDescent="0.2">
      <c r="B9" s="14"/>
    </row>
    <row r="10" spans="2:23" s="36" customFormat="1" ht="38.25" x14ac:dyDescent="0.2">
      <c r="B10" s="14" t="s">
        <v>396</v>
      </c>
    </row>
    <row r="12" spans="2:23" x14ac:dyDescent="0.2">
      <c r="B12" s="20" t="s">
        <v>393</v>
      </c>
    </row>
    <row r="13" spans="2:23" ht="63.75" x14ac:dyDescent="0.2">
      <c r="B13" s="14" t="s">
        <v>437</v>
      </c>
    </row>
    <row r="14" spans="2:23" x14ac:dyDescent="0.2">
      <c r="B14" s="14"/>
    </row>
    <row r="15" spans="2:23" ht="63.75" x14ac:dyDescent="0.2">
      <c r="B15" s="197" t="s">
        <v>667</v>
      </c>
    </row>
    <row r="16" spans="2:23" x14ac:dyDescent="0.2">
      <c r="B16" s="41"/>
    </row>
    <row r="17" spans="2:2" x14ac:dyDescent="0.2">
      <c r="B17" s="20" t="s">
        <v>413</v>
      </c>
    </row>
    <row r="18" spans="2:2" x14ac:dyDescent="0.2">
      <c r="B18" s="14" t="s">
        <v>414</v>
      </c>
    </row>
    <row r="19" spans="2:2" x14ac:dyDescent="0.2">
      <c r="B19" s="14" t="s">
        <v>397</v>
      </c>
    </row>
    <row r="20" spans="2:2" x14ac:dyDescent="0.2">
      <c r="B20" s="40" t="s">
        <v>399</v>
      </c>
    </row>
    <row r="21" spans="2:2" x14ac:dyDescent="0.2">
      <c r="B21" s="40" t="s">
        <v>398</v>
      </c>
    </row>
    <row r="22" spans="2:2" x14ac:dyDescent="0.2">
      <c r="B22" s="40" t="s">
        <v>400</v>
      </c>
    </row>
    <row r="23" spans="2:2" x14ac:dyDescent="0.2">
      <c r="B23" s="40" t="s">
        <v>401</v>
      </c>
    </row>
    <row r="24" spans="2:2" s="92" customFormat="1" x14ac:dyDescent="0.2">
      <c r="B24" s="40" t="s">
        <v>402</v>
      </c>
    </row>
    <row r="25" spans="2:2" s="92" customFormat="1" ht="25.5" x14ac:dyDescent="0.2">
      <c r="B25" s="40" t="s">
        <v>403</v>
      </c>
    </row>
    <row r="26" spans="2:2" s="92" customFormat="1" x14ac:dyDescent="0.2">
      <c r="B26" s="40"/>
    </row>
    <row r="27" spans="2:2" s="92" customFormat="1" x14ac:dyDescent="0.2">
      <c r="B27" s="14" t="s">
        <v>404</v>
      </c>
    </row>
    <row r="28" spans="2:2" s="92" customFormat="1" x14ac:dyDescent="0.2">
      <c r="B28" s="40" t="s">
        <v>405</v>
      </c>
    </row>
    <row r="29" spans="2:2" s="92" customFormat="1" x14ac:dyDescent="0.2">
      <c r="B29" s="40" t="s">
        <v>406</v>
      </c>
    </row>
    <row r="30" spans="2:2" s="92" customFormat="1" x14ac:dyDescent="0.2">
      <c r="B30" s="40" t="s">
        <v>407</v>
      </c>
    </row>
    <row r="31" spans="2:2" s="92" customFormat="1" x14ac:dyDescent="0.2">
      <c r="B31" s="40" t="s">
        <v>408</v>
      </c>
    </row>
    <row r="32" spans="2:2" s="92" customFormat="1" ht="38.25" x14ac:dyDescent="0.2">
      <c r="B32" s="40" t="s">
        <v>409</v>
      </c>
    </row>
    <row r="33" spans="2:2" s="92" customFormat="1" x14ac:dyDescent="0.2">
      <c r="B33" s="40" t="s">
        <v>410</v>
      </c>
    </row>
    <row r="34" spans="2:2" s="36" customFormat="1" x14ac:dyDescent="0.2">
      <c r="B34" s="40" t="s">
        <v>411</v>
      </c>
    </row>
    <row r="35" spans="2:2" s="92" customFormat="1" x14ac:dyDescent="0.2">
      <c r="B35" s="40"/>
    </row>
    <row r="36" spans="2:2" s="92" customFormat="1" x14ac:dyDescent="0.2">
      <c r="B36" s="14" t="s">
        <v>412</v>
      </c>
    </row>
    <row r="37" spans="2:2" s="92" customFormat="1" x14ac:dyDescent="0.2">
      <c r="B37" s="40" t="s">
        <v>415</v>
      </c>
    </row>
    <row r="38" spans="2:2" s="92" customFormat="1" x14ac:dyDescent="0.2">
      <c r="B38" s="40" t="s">
        <v>416</v>
      </c>
    </row>
    <row r="39" spans="2:2" s="92" customFormat="1" x14ac:dyDescent="0.2">
      <c r="B39" s="40" t="s">
        <v>417</v>
      </c>
    </row>
    <row r="40" spans="2:2" s="92" customFormat="1" x14ac:dyDescent="0.2">
      <c r="B40" s="40" t="s">
        <v>418</v>
      </c>
    </row>
    <row r="41" spans="2:2" s="92" customFormat="1" x14ac:dyDescent="0.2">
      <c r="B41" s="40" t="s">
        <v>419</v>
      </c>
    </row>
    <row r="42" spans="2:2" s="92" customFormat="1" x14ac:dyDescent="0.2"/>
    <row r="43" spans="2:2" s="92" customFormat="1" x14ac:dyDescent="0.2">
      <c r="B43" s="14" t="s">
        <v>420</v>
      </c>
    </row>
    <row r="44" spans="2:2" s="92" customFormat="1" x14ac:dyDescent="0.2">
      <c r="B44" s="40" t="s">
        <v>421</v>
      </c>
    </row>
    <row r="45" spans="2:2" s="92" customFormat="1" x14ac:dyDescent="0.2">
      <c r="B45" s="40" t="s">
        <v>422</v>
      </c>
    </row>
    <row r="46" spans="2:2" s="92" customFormat="1" x14ac:dyDescent="0.2">
      <c r="B46" s="40" t="s">
        <v>423</v>
      </c>
    </row>
    <row r="47" spans="2:2" s="92" customFormat="1" x14ac:dyDescent="0.2">
      <c r="B47" s="40" t="s">
        <v>424</v>
      </c>
    </row>
    <row r="48" spans="2:2" s="92" customFormat="1" ht="25.5" x14ac:dyDescent="0.2">
      <c r="B48" s="40" t="s">
        <v>425</v>
      </c>
    </row>
    <row r="49" spans="2:2" s="92" customFormat="1" x14ac:dyDescent="0.2">
      <c r="B49" s="40"/>
    </row>
    <row r="50" spans="2:2" s="92" customFormat="1" x14ac:dyDescent="0.2">
      <c r="B50" s="14" t="s">
        <v>426</v>
      </c>
    </row>
    <row r="51" spans="2:2" s="92" customFormat="1" x14ac:dyDescent="0.2">
      <c r="B51" s="14"/>
    </row>
    <row r="52" spans="2:2" s="92" customFormat="1" x14ac:dyDescent="0.2">
      <c r="B52" s="14" t="s">
        <v>429</v>
      </c>
    </row>
    <row r="53" spans="2:2" s="92" customFormat="1" x14ac:dyDescent="0.2">
      <c r="B53" s="40" t="s">
        <v>427</v>
      </c>
    </row>
    <row r="54" spans="2:2" s="92" customFormat="1" x14ac:dyDescent="0.2">
      <c r="B54" s="40" t="s">
        <v>428</v>
      </c>
    </row>
    <row r="55" spans="2:2" s="92" customFormat="1" x14ac:dyDescent="0.2">
      <c r="B55" s="40"/>
    </row>
    <row r="56" spans="2:2" s="92" customFormat="1" x14ac:dyDescent="0.2">
      <c r="B56" s="14" t="s">
        <v>430</v>
      </c>
    </row>
    <row r="57" spans="2:2" s="92" customFormat="1" x14ac:dyDescent="0.2">
      <c r="B57" s="40" t="s">
        <v>431</v>
      </c>
    </row>
    <row r="58" spans="2:2" s="92" customFormat="1" x14ac:dyDescent="0.2">
      <c r="B58" s="40" t="s">
        <v>432</v>
      </c>
    </row>
    <row r="59" spans="2:2" s="92" customFormat="1" x14ac:dyDescent="0.2">
      <c r="B59" s="40" t="s">
        <v>433</v>
      </c>
    </row>
    <row r="60" spans="2:2" s="92" customFormat="1" x14ac:dyDescent="0.2">
      <c r="B60" s="40" t="s">
        <v>434</v>
      </c>
    </row>
    <row r="61" spans="2:2" s="92" customFormat="1" x14ac:dyDescent="0.2">
      <c r="B61" s="40" t="s">
        <v>435</v>
      </c>
    </row>
    <row r="63" spans="2:2" x14ac:dyDescent="0.2">
      <c r="B63" s="20" t="s">
        <v>436</v>
      </c>
    </row>
    <row r="64" spans="2:2" s="36" customFormat="1" ht="63.75" x14ac:dyDescent="0.2">
      <c r="B64" s="129" t="s">
        <v>438</v>
      </c>
    </row>
    <row r="65" spans="2:2" x14ac:dyDescent="0.2">
      <c r="B65" s="14"/>
    </row>
    <row r="66" spans="2:2" ht="114.75" x14ac:dyDescent="0.2">
      <c r="B66" s="129" t="s">
        <v>585</v>
      </c>
    </row>
    <row r="67" spans="2:2" x14ac:dyDescent="0.2">
      <c r="B67" s="41"/>
    </row>
    <row r="68" spans="2:2" s="39" customFormat="1" ht="89.25" x14ac:dyDescent="0.2">
      <c r="B68" s="129" t="s">
        <v>439</v>
      </c>
    </row>
    <row r="69" spans="2:2" x14ac:dyDescent="0.2">
      <c r="B69" s="14"/>
    </row>
    <row r="70" spans="2:2" x14ac:dyDescent="0.2">
      <c r="B70" s="37"/>
    </row>
    <row r="71" spans="2:2" x14ac:dyDescent="0.2">
      <c r="B71" s="21"/>
    </row>
    <row r="72" spans="2:2" x14ac:dyDescent="0.2">
      <c r="B72" s="37"/>
    </row>
    <row r="74" spans="2:2" x14ac:dyDescent="0.2">
      <c r="B74" s="37"/>
    </row>
    <row r="75" spans="2:2" x14ac:dyDescent="0.2">
      <c r="B75" s="14"/>
    </row>
    <row r="76" spans="2:2" x14ac:dyDescent="0.2">
      <c r="B76" s="37"/>
    </row>
    <row r="77" spans="2:2" x14ac:dyDescent="0.2">
      <c r="B77" s="21"/>
    </row>
    <row r="78" spans="2:2" x14ac:dyDescent="0.2">
      <c r="B78" s="14"/>
    </row>
    <row r="80" spans="2:2" x14ac:dyDescent="0.2">
      <c r="B80" s="21"/>
    </row>
    <row r="81" spans="2:2" x14ac:dyDescent="0.2">
      <c r="B81" s="14"/>
    </row>
  </sheetData>
  <pageMargins left="0.7" right="0.7" top="0.78740157499999996" bottom="0.78740157499999996" header="0.3" footer="0.3"/>
  <pageSetup paperSize="9" fitToHeight="0" orientation="landscape" r:id="rId1"/>
  <rowBreaks count="3" manualBreakCount="3">
    <brk id="16" max="1" man="1"/>
    <brk id="42" max="1" man="1"/>
    <brk id="61" max="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pageSetUpPr fitToPage="1"/>
  </sheetPr>
  <dimension ref="B1:AF25"/>
  <sheetViews>
    <sheetView view="pageBreakPreview" zoomScaleNormal="100" zoomScaleSheetLayoutView="100" zoomScalePageLayoutView="70" workbookViewId="0"/>
  </sheetViews>
  <sheetFormatPr baseColWidth="10" defaultRowHeight="12.75" x14ac:dyDescent="0.2"/>
  <cols>
    <col min="1" max="1" width="2" style="1" customWidth="1"/>
    <col min="2" max="2" width="16.28515625" style="1" customWidth="1"/>
    <col min="3" max="3" width="13.140625" style="1" customWidth="1"/>
    <col min="4" max="4" width="10.42578125" style="1" customWidth="1"/>
    <col min="5" max="5" width="13.140625" style="1" customWidth="1"/>
    <col min="6" max="6" width="10.42578125" style="1" customWidth="1"/>
    <col min="7" max="7" width="13.140625" style="1" customWidth="1"/>
    <col min="8" max="8" width="10.42578125" style="1" customWidth="1"/>
    <col min="9" max="9" width="13.140625" style="1" customWidth="1"/>
    <col min="10" max="10" width="10.42578125" style="1" customWidth="1"/>
    <col min="11" max="11" width="13.140625" style="1" customWidth="1"/>
    <col min="12" max="12" width="10.42578125" style="1" customWidth="1"/>
    <col min="13" max="13" width="2.42578125" style="1" customWidth="1"/>
    <col min="14" max="16384" width="11.42578125" style="1"/>
  </cols>
  <sheetData>
    <row r="1" spans="2:32" s="11" customFormat="1" ht="15.75" x14ac:dyDescent="0.2">
      <c r="B1" s="213" t="str">
        <f>Inhaltsverzeichnis!B24&amp;" "&amp;Inhaltsverzeichnis!C24&amp;" "&amp;Inhaltsverzeichnis!E24</f>
        <v>Tabelle 3: Verteilung der Pflichtigen, Einkommen und Vermögen nach Stufen des Reineinkommens, 2013</v>
      </c>
      <c r="C1" s="214"/>
      <c r="D1" s="214"/>
      <c r="E1" s="214"/>
      <c r="F1" s="214"/>
      <c r="G1" s="214"/>
      <c r="H1" s="214"/>
      <c r="I1" s="214"/>
      <c r="J1" s="214"/>
      <c r="K1" s="214"/>
      <c r="L1" s="214"/>
      <c r="M1" s="214"/>
      <c r="N1" s="214"/>
      <c r="O1" s="214"/>
      <c r="P1" s="214"/>
      <c r="Q1" s="214"/>
      <c r="R1" s="214"/>
      <c r="S1" s="214"/>
      <c r="T1" s="78"/>
      <c r="U1" s="78"/>
      <c r="V1" s="78"/>
      <c r="W1" s="78"/>
      <c r="X1" s="78"/>
      <c r="Y1" s="78"/>
      <c r="Z1" s="78"/>
      <c r="AA1" s="78"/>
      <c r="AB1" s="78"/>
      <c r="AC1" s="78"/>
      <c r="AD1" s="78"/>
      <c r="AE1" s="78"/>
      <c r="AF1" s="78"/>
    </row>
    <row r="3" spans="2:32" s="45" customFormat="1" ht="21.75" customHeight="1" x14ac:dyDescent="0.2">
      <c r="B3" s="248" t="s">
        <v>107</v>
      </c>
      <c r="C3" s="251" t="s">
        <v>441</v>
      </c>
      <c r="D3" s="247"/>
      <c r="E3" s="246" t="s">
        <v>602</v>
      </c>
      <c r="F3" s="250"/>
      <c r="G3" s="246" t="s">
        <v>603</v>
      </c>
      <c r="H3" s="247"/>
      <c r="I3" s="246" t="s">
        <v>604</v>
      </c>
      <c r="J3" s="247"/>
      <c r="K3" s="246" t="s">
        <v>605</v>
      </c>
      <c r="L3" s="247"/>
    </row>
    <row r="4" spans="2:32" ht="17.25" customHeight="1" x14ac:dyDescent="0.2">
      <c r="B4" s="249"/>
      <c r="C4" s="47" t="s">
        <v>1</v>
      </c>
      <c r="D4" s="47" t="s">
        <v>2</v>
      </c>
      <c r="E4" s="47" t="s">
        <v>3</v>
      </c>
      <c r="F4" s="47" t="s">
        <v>2</v>
      </c>
      <c r="G4" s="47" t="s">
        <v>3</v>
      </c>
      <c r="H4" s="47" t="s">
        <v>2</v>
      </c>
      <c r="I4" s="47" t="s">
        <v>3</v>
      </c>
      <c r="J4" s="47" t="s">
        <v>2</v>
      </c>
      <c r="K4" s="47" t="s">
        <v>3</v>
      </c>
      <c r="L4" s="47" t="s">
        <v>2</v>
      </c>
    </row>
    <row r="5" spans="2:32" x14ac:dyDescent="0.2">
      <c r="B5" s="25">
        <v>0</v>
      </c>
      <c r="C5" s="27">
        <v>15205.222322679751</v>
      </c>
      <c r="D5" s="28">
        <f>C5/SUM($C$5:$C$16)</f>
        <v>4.2402442396838498E-2</v>
      </c>
      <c r="E5" s="27">
        <v>121027.5517949455</v>
      </c>
      <c r="F5" s="28">
        <f>E5/SUM($E$5:$E$16)</f>
        <v>3.9490727219663891E-3</v>
      </c>
      <c r="G5" s="27">
        <v>0</v>
      </c>
      <c r="H5" s="28">
        <f>G5/SUM($G$5:$G$16)</f>
        <v>0</v>
      </c>
      <c r="I5" s="27">
        <v>2136431.791849927</v>
      </c>
      <c r="J5" s="28">
        <f>I5/SUM($I$5:$I$16)</f>
        <v>1.2659544770515308E-2</v>
      </c>
      <c r="K5" s="27">
        <v>1373894.2650947757</v>
      </c>
      <c r="L5" s="28">
        <f>K5/SUM($K$5:$K$16)</f>
        <v>1.3399911358486862E-2</v>
      </c>
    </row>
    <row r="6" spans="2:32" x14ac:dyDescent="0.2">
      <c r="B6" s="25" t="s">
        <v>38</v>
      </c>
      <c r="C6" s="27">
        <v>20445.337903205924</v>
      </c>
      <c r="D6" s="28">
        <f t="shared" ref="D6:D16" si="0">C6/SUM($C$5:$C$16)</f>
        <v>5.7015428273711741E-2</v>
      </c>
      <c r="E6" s="27">
        <v>254863.81713115811</v>
      </c>
      <c r="F6" s="28">
        <f t="shared" ref="F6:F13" si="1">E6/SUM($E$5:$E$16)</f>
        <v>8.3160878091142251E-3</v>
      </c>
      <c r="G6" s="27">
        <v>101109.20423349284</v>
      </c>
      <c r="H6" s="28">
        <f t="shared" ref="H6:H16" si="2">G6/SUM($G$5:$G$16)</f>
        <v>4.2037932387115513E-3</v>
      </c>
      <c r="I6" s="27">
        <v>1338219.9894614152</v>
      </c>
      <c r="J6" s="28">
        <f t="shared" ref="J6:J16" si="3">I6/SUM($I$5:$I$16)</f>
        <v>7.9296965781977761E-3</v>
      </c>
      <c r="K6" s="27">
        <v>965023.79927611689</v>
      </c>
      <c r="L6" s="28">
        <f t="shared" ref="L6:L16" si="4">K6/SUM($K$5:$K$16)</f>
        <v>9.4121022975797528E-3</v>
      </c>
    </row>
    <row r="7" spans="2:32" x14ac:dyDescent="0.2">
      <c r="B7" s="25" t="s">
        <v>39</v>
      </c>
      <c r="C7" s="27">
        <v>18461.087239694898</v>
      </c>
      <c r="D7" s="28">
        <f t="shared" si="0"/>
        <v>5.1481995570467544E-2</v>
      </c>
      <c r="E7" s="27">
        <v>438923.16488661425</v>
      </c>
      <c r="F7" s="28">
        <f t="shared" si="1"/>
        <v>1.4321858715523269E-2</v>
      </c>
      <c r="G7" s="27">
        <v>282731.34690467163</v>
      </c>
      <c r="H7" s="28">
        <f t="shared" si="2"/>
        <v>1.1755053691699007E-2</v>
      </c>
      <c r="I7" s="27">
        <v>2080318.3265172986</v>
      </c>
      <c r="J7" s="28">
        <f t="shared" si="3"/>
        <v>1.2327041327476735E-2</v>
      </c>
      <c r="K7" s="27">
        <v>1423151.723410263</v>
      </c>
      <c r="L7" s="28">
        <f t="shared" si="4"/>
        <v>1.3880330843407238E-2</v>
      </c>
    </row>
    <row r="8" spans="2:32" x14ac:dyDescent="0.2">
      <c r="B8" s="25" t="s">
        <v>40</v>
      </c>
      <c r="C8" s="27">
        <v>26784.093551958802</v>
      </c>
      <c r="D8" s="28">
        <f t="shared" si="0"/>
        <v>7.4692165618286746E-2</v>
      </c>
      <c r="E8" s="27">
        <v>918243.55888647342</v>
      </c>
      <c r="F8" s="28">
        <f t="shared" si="1"/>
        <v>2.9961860227196237E-2</v>
      </c>
      <c r="G8" s="27">
        <v>674813.07572917978</v>
      </c>
      <c r="H8" s="28">
        <f t="shared" si="2"/>
        <v>2.8056542098714086E-2</v>
      </c>
      <c r="I8" s="27">
        <v>4445932.171130429</v>
      </c>
      <c r="J8" s="28">
        <f t="shared" si="3"/>
        <v>2.6344617030045397E-2</v>
      </c>
      <c r="K8" s="27">
        <v>3140867.7227053833</v>
      </c>
      <c r="L8" s="28">
        <f t="shared" si="4"/>
        <v>3.0633615804547598E-2</v>
      </c>
    </row>
    <row r="9" spans="2:32" x14ac:dyDescent="0.2">
      <c r="B9" s="25" t="s">
        <v>41</v>
      </c>
      <c r="C9" s="27">
        <v>79115.527228649487</v>
      </c>
      <c r="D9" s="28">
        <f t="shared" si="0"/>
        <v>0.22062759194283788</v>
      </c>
      <c r="E9" s="27">
        <v>4168485.23019472</v>
      </c>
      <c r="F9" s="28">
        <f t="shared" si="1"/>
        <v>0.13601573418895882</v>
      </c>
      <c r="G9" s="27">
        <v>3217900.6050899411</v>
      </c>
      <c r="H9" s="28">
        <f t="shared" si="2"/>
        <v>0.1337898849968587</v>
      </c>
      <c r="I9" s="27">
        <v>17689997.815886889</v>
      </c>
      <c r="J9" s="28">
        <f t="shared" si="3"/>
        <v>0.10482306067287225</v>
      </c>
      <c r="K9" s="27">
        <v>12209137.852018347</v>
      </c>
      <c r="L9" s="28">
        <f t="shared" si="4"/>
        <v>0.1190785704089876</v>
      </c>
    </row>
    <row r="10" spans="2:32" x14ac:dyDescent="0.2">
      <c r="B10" s="25" t="s">
        <v>42</v>
      </c>
      <c r="C10" s="27">
        <v>85747.386100508273</v>
      </c>
      <c r="D10" s="28">
        <f t="shared" si="0"/>
        <v>0.23912169928505758</v>
      </c>
      <c r="E10" s="27">
        <v>6676117.5606402503</v>
      </c>
      <c r="F10" s="28">
        <f t="shared" si="1"/>
        <v>0.21783861076553868</v>
      </c>
      <c r="G10" s="27">
        <v>5278137.5900339186</v>
      </c>
      <c r="H10" s="28">
        <f t="shared" si="2"/>
        <v>0.21944786611844325</v>
      </c>
      <c r="I10" s="27">
        <v>29870310.252049457</v>
      </c>
      <c r="J10" s="28">
        <f t="shared" si="3"/>
        <v>0.17699817583109864</v>
      </c>
      <c r="K10" s="27">
        <v>18094163.162877396</v>
      </c>
      <c r="L10" s="28">
        <f t="shared" si="4"/>
        <v>0.17647659550557165</v>
      </c>
    </row>
    <row r="11" spans="2:32" x14ac:dyDescent="0.2">
      <c r="B11" s="25" t="s">
        <v>43</v>
      </c>
      <c r="C11" s="27">
        <v>51824.105471138959</v>
      </c>
      <c r="D11" s="28">
        <f t="shared" si="0"/>
        <v>0.14452065220578592</v>
      </c>
      <c r="E11" s="27">
        <v>5696324.0359083945</v>
      </c>
      <c r="F11" s="28">
        <f t="shared" si="1"/>
        <v>0.18586840378131819</v>
      </c>
      <c r="G11" s="27">
        <v>4475637.5402109539</v>
      </c>
      <c r="H11" s="28">
        <f t="shared" si="2"/>
        <v>0.18608251319052491</v>
      </c>
      <c r="I11" s="27">
        <v>27851402.32830815</v>
      </c>
      <c r="J11" s="28">
        <f t="shared" si="3"/>
        <v>0.16503502524250893</v>
      </c>
      <c r="K11" s="27">
        <v>14871625.611738011</v>
      </c>
      <c r="L11" s="28">
        <f t="shared" si="4"/>
        <v>0.14504643480708132</v>
      </c>
    </row>
    <row r="12" spans="2:32" x14ac:dyDescent="0.2">
      <c r="B12" s="25" t="s">
        <v>44</v>
      </c>
      <c r="C12" s="27">
        <v>40966.453175871029</v>
      </c>
      <c r="D12" s="28">
        <f t="shared" si="0"/>
        <v>0.11424217509806936</v>
      </c>
      <c r="E12" s="27">
        <v>6190627.2308932506</v>
      </c>
      <c r="F12" s="28">
        <f t="shared" si="1"/>
        <v>0.20199728712023618</v>
      </c>
      <c r="G12" s="27">
        <v>4882026.6896789121</v>
      </c>
      <c r="H12" s="28">
        <f t="shared" si="2"/>
        <v>0.20297885780890371</v>
      </c>
      <c r="I12" s="27">
        <v>33451354.474910017</v>
      </c>
      <c r="J12" s="28">
        <f t="shared" si="3"/>
        <v>0.19821785147786647</v>
      </c>
      <c r="K12" s="27">
        <v>17284198.44676305</v>
      </c>
      <c r="L12" s="28">
        <f t="shared" si="4"/>
        <v>0.16857682062829207</v>
      </c>
    </row>
    <row r="13" spans="2:32" x14ac:dyDescent="0.2">
      <c r="B13" s="25" t="s">
        <v>45</v>
      </c>
      <c r="C13" s="27">
        <v>15047.818910750189</v>
      </c>
      <c r="D13" s="28">
        <f t="shared" si="0"/>
        <v>4.1963495240015025E-2</v>
      </c>
      <c r="E13" s="27">
        <v>3445314.689463845</v>
      </c>
      <c r="F13" s="28">
        <f t="shared" si="1"/>
        <v>0.11241901581058003</v>
      </c>
      <c r="G13" s="27">
        <v>2762839.9908034122</v>
      </c>
      <c r="H13" s="28">
        <f t="shared" si="2"/>
        <v>0.11486993850886178</v>
      </c>
      <c r="I13" s="27">
        <v>22660814.05717776</v>
      </c>
      <c r="J13" s="28">
        <f t="shared" si="3"/>
        <v>0.13427790729736341</v>
      </c>
      <c r="K13" s="27">
        <v>12899780.421443785</v>
      </c>
      <c r="L13" s="28">
        <f t="shared" si="4"/>
        <v>0.12581456854641346</v>
      </c>
    </row>
    <row r="14" spans="2:32" x14ac:dyDescent="0.2">
      <c r="B14" s="25" t="s">
        <v>46</v>
      </c>
      <c r="C14" s="27">
        <v>3996.9297177625663</v>
      </c>
      <c r="D14" s="28">
        <f t="shared" si="0"/>
        <v>1.1146142984627554E-2</v>
      </c>
      <c r="E14" s="27">
        <v>1561530.684683854</v>
      </c>
      <c r="F14" s="28">
        <f>E14/SUM($E$5:$E$16)</f>
        <v>5.0952019932175838E-2</v>
      </c>
      <c r="G14" s="27">
        <v>1302926.7345671302</v>
      </c>
      <c r="H14" s="28">
        <f t="shared" si="2"/>
        <v>5.4171473693543977E-2</v>
      </c>
      <c r="I14" s="27">
        <v>12845202.610716997</v>
      </c>
      <c r="J14" s="28">
        <f t="shared" si="3"/>
        <v>7.6114958669429286E-2</v>
      </c>
      <c r="K14" s="27">
        <v>8246769.3862147043</v>
      </c>
      <c r="L14" s="28">
        <f t="shared" si="4"/>
        <v>8.0432666164114944E-2</v>
      </c>
    </row>
    <row r="15" spans="2:32" x14ac:dyDescent="0.2">
      <c r="B15" s="25" t="s">
        <v>47</v>
      </c>
      <c r="C15" s="27">
        <v>772.21473832866479</v>
      </c>
      <c r="D15" s="28">
        <f t="shared" si="0"/>
        <v>2.1534569021809738E-3</v>
      </c>
      <c r="E15" s="27">
        <v>570516.05113783199</v>
      </c>
      <c r="F15" s="28">
        <f>E15/SUM($E$5:$E$16)</f>
        <v>1.8615673386582435E-2</v>
      </c>
      <c r="G15" s="27">
        <v>500119.19426566211</v>
      </c>
      <c r="H15" s="28">
        <f t="shared" si="2"/>
        <v>2.0793336307432152E-2</v>
      </c>
      <c r="I15" s="27">
        <v>6236120.0734155402</v>
      </c>
      <c r="J15" s="28">
        <f t="shared" si="3"/>
        <v>3.695247447865109E-2</v>
      </c>
      <c r="K15" s="27">
        <v>4673275.2217024667</v>
      </c>
      <c r="L15" s="28">
        <f t="shared" si="4"/>
        <v>4.5579543721515028E-2</v>
      </c>
    </row>
    <row r="16" spans="2:32" x14ac:dyDescent="0.2">
      <c r="B16" s="101" t="s">
        <v>48</v>
      </c>
      <c r="C16" s="27">
        <v>226.90137719610846</v>
      </c>
      <c r="D16" s="28">
        <f t="shared" si="0"/>
        <v>6.3275448212096177E-4</v>
      </c>
      <c r="E16" s="27">
        <v>605107.47754331224</v>
      </c>
      <c r="F16" s="28">
        <f>E16/SUM($E$5:$E$16)</f>
        <v>1.9744375540809558E-2</v>
      </c>
      <c r="G16" s="27">
        <v>573655.56293007988</v>
      </c>
      <c r="H16" s="28">
        <f t="shared" si="2"/>
        <v>2.385074034630677E-2</v>
      </c>
      <c r="I16" s="27">
        <v>8154450.3447584379</v>
      </c>
      <c r="J16" s="28">
        <f t="shared" si="3"/>
        <v>4.8319646623974651E-2</v>
      </c>
      <c r="K16" s="27">
        <v>7348213.3955669794</v>
      </c>
      <c r="L16" s="28">
        <f t="shared" si="4"/>
        <v>7.1668839914002275E-2</v>
      </c>
    </row>
    <row r="17" spans="2:12" x14ac:dyDescent="0.2">
      <c r="B17" s="10" t="s">
        <v>0</v>
      </c>
      <c r="C17" s="96">
        <f>SUM(C5:C16)</f>
        <v>358593.07773774472</v>
      </c>
      <c r="D17" s="29">
        <f t="shared" ref="D17:L17" si="5">SUM(D5:D16)</f>
        <v>0.99999999999999967</v>
      </c>
      <c r="E17" s="96">
        <f t="shared" si="5"/>
        <v>30647081.053164653</v>
      </c>
      <c r="F17" s="29">
        <f t="shared" si="5"/>
        <v>0.99999999999999989</v>
      </c>
      <c r="G17" s="96">
        <f t="shared" si="5"/>
        <v>24051897.534447357</v>
      </c>
      <c r="H17" s="29">
        <f t="shared" si="5"/>
        <v>0.99999999999999989</v>
      </c>
      <c r="I17" s="96">
        <f t="shared" si="5"/>
        <v>168760554.23618233</v>
      </c>
      <c r="J17" s="29">
        <f t="shared" si="5"/>
        <v>1</v>
      </c>
      <c r="K17" s="96">
        <f t="shared" si="5"/>
        <v>102530101.0088113</v>
      </c>
      <c r="L17" s="29">
        <f t="shared" si="5"/>
        <v>0.99999999999999989</v>
      </c>
    </row>
    <row r="19" spans="2:12" x14ac:dyDescent="0.2">
      <c r="B19" s="201" t="s">
        <v>33</v>
      </c>
    </row>
    <row r="20" spans="2:12" x14ac:dyDescent="0.2">
      <c r="B20" s="201" t="s">
        <v>595</v>
      </c>
    </row>
    <row r="21" spans="2:12" x14ac:dyDescent="0.2">
      <c r="B21" s="201" t="s">
        <v>594</v>
      </c>
    </row>
    <row r="22" spans="2:12" x14ac:dyDescent="0.2">
      <c r="B22" s="201" t="s">
        <v>600</v>
      </c>
    </row>
    <row r="23" spans="2:12" x14ac:dyDescent="0.2">
      <c r="B23" s="201" t="s">
        <v>601</v>
      </c>
    </row>
    <row r="25" spans="2:12" x14ac:dyDescent="0.2">
      <c r="B25" s="201"/>
    </row>
  </sheetData>
  <mergeCells count="6">
    <mergeCell ref="K3:L3"/>
    <mergeCell ref="B3:B4"/>
    <mergeCell ref="E3:F3"/>
    <mergeCell ref="C3:D3"/>
    <mergeCell ref="G3:H3"/>
    <mergeCell ref="I3:J3"/>
  </mergeCells>
  <phoneticPr fontId="3" type="noConversion"/>
  <pageMargins left="0.78740157480314965" right="0.78740157480314965" top="0.98425196850393704" bottom="0.98425196850393704" header="0.51181102362204722" footer="0.51181102362204722"/>
  <pageSetup paperSize="9" scale="96" orientation="landscape" r:id="rId1"/>
  <headerFooter alignWithMargins="0"/>
  <colBreaks count="1" manualBreakCount="1">
    <brk id="14" max="42"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pageSetUpPr fitToPage="1"/>
  </sheetPr>
  <dimension ref="B1:AF45"/>
  <sheetViews>
    <sheetView view="pageBreakPreview" zoomScaleNormal="100" zoomScaleSheetLayoutView="100" zoomScalePageLayoutView="70" workbookViewId="0"/>
  </sheetViews>
  <sheetFormatPr baseColWidth="10" defaultRowHeight="12.75" x14ac:dyDescent="0.2"/>
  <cols>
    <col min="1" max="1" width="2" style="66" customWidth="1"/>
    <col min="2" max="2" width="16.28515625" style="81" customWidth="1"/>
    <col min="3" max="3" width="11.42578125" style="66" customWidth="1"/>
    <col min="4" max="4" width="10.42578125" style="66" customWidth="1"/>
    <col min="5" max="5" width="12.42578125" style="66" customWidth="1"/>
    <col min="6" max="6" width="10.42578125" style="66" customWidth="1"/>
    <col min="7" max="7" width="11.42578125" style="66" customWidth="1"/>
    <col min="8" max="8" width="10.42578125" style="66" customWidth="1"/>
    <col min="9" max="9" width="12" style="66" customWidth="1"/>
    <col min="10" max="10" width="10.42578125" style="66" customWidth="1"/>
    <col min="11" max="11" width="12" style="66" customWidth="1"/>
    <col min="12" max="12" width="10.42578125" style="66" customWidth="1"/>
    <col min="13" max="13" width="4.28515625" style="66" customWidth="1"/>
    <col min="14" max="14" width="13.7109375" style="66" customWidth="1"/>
    <col min="15" max="17" width="11.42578125" style="66" customWidth="1"/>
    <col min="18" max="16384" width="11.42578125" style="66"/>
  </cols>
  <sheetData>
    <row r="1" spans="2:32" s="11" customFormat="1" ht="15.75" x14ac:dyDescent="0.2">
      <c r="B1" s="213" t="str">
        <f>Inhaltsverzeichnis!B25&amp;" "&amp;Inhaltsverzeichnis!C25&amp;" "&amp;Inhaltsverzeichnis!E25</f>
        <v>Tabelle 4: Verteilung der Pflichtigen, Einkommen und Vermögen nach Stufen des Reinvermögens, 2013</v>
      </c>
      <c r="C1" s="214"/>
      <c r="D1" s="214"/>
      <c r="E1" s="214"/>
      <c r="F1" s="214"/>
      <c r="G1" s="214"/>
      <c r="H1" s="214"/>
      <c r="I1" s="214"/>
      <c r="J1" s="214"/>
      <c r="K1" s="214"/>
      <c r="L1" s="214"/>
      <c r="M1" s="214"/>
      <c r="N1" s="214"/>
      <c r="O1" s="214"/>
      <c r="P1" s="214"/>
      <c r="Q1" s="214"/>
      <c r="R1" s="214"/>
      <c r="S1" s="214"/>
      <c r="T1" s="80"/>
      <c r="U1" s="80"/>
      <c r="V1" s="80"/>
      <c r="W1" s="80"/>
      <c r="X1" s="65"/>
      <c r="Y1" s="65"/>
      <c r="Z1" s="65"/>
      <c r="AA1" s="65"/>
      <c r="AB1" s="65"/>
      <c r="AC1" s="65"/>
      <c r="AD1" s="65"/>
      <c r="AE1" s="65"/>
      <c r="AF1" s="65"/>
    </row>
    <row r="3" spans="2:32" ht="22.5" customHeight="1" x14ac:dyDescent="0.2">
      <c r="B3" s="248" t="s">
        <v>63</v>
      </c>
      <c r="C3" s="251" t="s">
        <v>10</v>
      </c>
      <c r="D3" s="247"/>
      <c r="E3" s="246" t="s">
        <v>78</v>
      </c>
      <c r="F3" s="250"/>
      <c r="G3" s="246" t="s">
        <v>30</v>
      </c>
      <c r="H3" s="247"/>
      <c r="I3" s="246" t="s">
        <v>117</v>
      </c>
      <c r="J3" s="247"/>
      <c r="K3" s="246" t="s">
        <v>32</v>
      </c>
      <c r="L3" s="247"/>
    </row>
    <row r="4" spans="2:32" ht="16.5" customHeight="1" x14ac:dyDescent="0.2">
      <c r="B4" s="249"/>
      <c r="C4" s="47" t="s">
        <v>1</v>
      </c>
      <c r="D4" s="47" t="s">
        <v>2</v>
      </c>
      <c r="E4" s="47" t="s">
        <v>3</v>
      </c>
      <c r="F4" s="47" t="s">
        <v>2</v>
      </c>
      <c r="G4" s="47" t="s">
        <v>3</v>
      </c>
      <c r="H4" s="47" t="s">
        <v>2</v>
      </c>
      <c r="I4" s="47" t="s">
        <v>3</v>
      </c>
      <c r="J4" s="47" t="s">
        <v>2</v>
      </c>
      <c r="K4" s="47" t="s">
        <v>3</v>
      </c>
      <c r="L4" s="47" t="s">
        <v>2</v>
      </c>
    </row>
    <row r="5" spans="2:32" x14ac:dyDescent="0.2">
      <c r="B5" s="100">
        <v>0</v>
      </c>
      <c r="C5" s="141">
        <v>74289.640535988074</v>
      </c>
      <c r="D5" s="28">
        <f>C5/SUM($C$5:$C$15)</f>
        <v>0.20716975632842327</v>
      </c>
      <c r="E5" s="141">
        <v>6071649.8598479219</v>
      </c>
      <c r="F5" s="28">
        <f>E5/SUM($E$5:$E$15)</f>
        <v>0.19811511084253688</v>
      </c>
      <c r="G5" s="141">
        <v>4551952.2671279209</v>
      </c>
      <c r="H5" s="28">
        <f>G5/SUM($G$5:$G$15)</f>
        <v>0.18925543236697284</v>
      </c>
      <c r="I5" s="141">
        <v>16125846.681342833</v>
      </c>
      <c r="J5" s="28">
        <f>I5/SUM($I$5:$I$15)</f>
        <v>9.5554596595923386E-2</v>
      </c>
      <c r="K5" s="141">
        <v>0</v>
      </c>
      <c r="L5" s="28">
        <f>K5/SUM($K$5:$K$15)</f>
        <v>0</v>
      </c>
    </row>
    <row r="6" spans="2:32" x14ac:dyDescent="0.2">
      <c r="B6" s="24" t="s">
        <v>49</v>
      </c>
      <c r="C6" s="141">
        <v>87287.460146242986</v>
      </c>
      <c r="D6" s="28">
        <f t="shared" ref="D6:D15" si="0">C6/SUM($C$5:$C$15)</f>
        <v>0.24341646720263813</v>
      </c>
      <c r="E6" s="141">
        <v>4326266.7378988713</v>
      </c>
      <c r="F6" s="28">
        <f t="shared" ref="F6:F15" si="1">E6/SUM($E$5:$E$15)</f>
        <v>0.14116407139700959</v>
      </c>
      <c r="G6" s="141">
        <v>3380903.3865820882</v>
      </c>
      <c r="H6" s="28">
        <f t="shared" ref="H6:H15" si="2">G6/SUM($G$5:$G$15)</f>
        <v>0.14056701271656247</v>
      </c>
      <c r="I6" s="141">
        <v>3522313.9997979505</v>
      </c>
      <c r="J6" s="28">
        <f t="shared" ref="J6:J15" si="3">I6/SUM($I$5:$I$15)</f>
        <v>2.087166646104063E-2</v>
      </c>
      <c r="K6" s="141">
        <v>767972.90397953906</v>
      </c>
      <c r="L6" s="28">
        <f t="shared" ref="L6:L15" si="4">K6/SUM($K$5:$K$15)</f>
        <v>7.4902189349598039E-3</v>
      </c>
    </row>
    <row r="7" spans="2:32" x14ac:dyDescent="0.2">
      <c r="B7" s="25" t="s">
        <v>51</v>
      </c>
      <c r="C7" s="141">
        <v>29910.623872896093</v>
      </c>
      <c r="D7" s="28">
        <f t="shared" si="0"/>
        <v>8.3411046475278083E-2</v>
      </c>
      <c r="E7" s="141">
        <v>2054907.2368780014</v>
      </c>
      <c r="F7" s="28">
        <f t="shared" si="1"/>
        <v>6.705066734783903E-2</v>
      </c>
      <c r="G7" s="141">
        <v>1606727.4551024302</v>
      </c>
      <c r="H7" s="28">
        <f t="shared" si="2"/>
        <v>6.6802523701145589E-2</v>
      </c>
      <c r="I7" s="141">
        <v>3689782.7118108291</v>
      </c>
      <c r="J7" s="28">
        <f t="shared" si="3"/>
        <v>2.1864011578481429E-2</v>
      </c>
      <c r="K7" s="141">
        <v>1083618.6261650892</v>
      </c>
      <c r="L7" s="28">
        <f t="shared" si="4"/>
        <v>1.0568785317708457E-2</v>
      </c>
    </row>
    <row r="8" spans="2:32" x14ac:dyDescent="0.2">
      <c r="B8" s="25" t="s">
        <v>52</v>
      </c>
      <c r="C8" s="141">
        <v>32862.935703578842</v>
      </c>
      <c r="D8" s="28">
        <f t="shared" si="0"/>
        <v>9.1644088365846588E-2</v>
      </c>
      <c r="E8" s="141">
        <v>2648019.5172153749</v>
      </c>
      <c r="F8" s="28">
        <f t="shared" si="1"/>
        <v>8.6403645183101049E-2</v>
      </c>
      <c r="G8" s="141">
        <v>2059867.0101041303</v>
      </c>
      <c r="H8" s="28">
        <f t="shared" si="2"/>
        <v>8.564259876602201E-2</v>
      </c>
      <c r="I8" s="141">
        <v>7002893.2437228728</v>
      </c>
      <c r="J8" s="28">
        <f t="shared" si="3"/>
        <v>4.1496031317379133E-2</v>
      </c>
      <c r="K8" s="141">
        <v>2377763.3511464112</v>
      </c>
      <c r="L8" s="28">
        <f t="shared" si="4"/>
        <v>2.3190880802332101E-2</v>
      </c>
    </row>
    <row r="9" spans="2:32" x14ac:dyDescent="0.2">
      <c r="B9" s="25" t="s">
        <v>53</v>
      </c>
      <c r="C9" s="141">
        <v>46213.491388809976</v>
      </c>
      <c r="D9" s="28">
        <f t="shared" si="0"/>
        <v>0.1288744659555528</v>
      </c>
      <c r="E9" s="141">
        <v>4370093.1800249415</v>
      </c>
      <c r="F9" s="28">
        <f t="shared" si="1"/>
        <v>0.14259410781875048</v>
      </c>
      <c r="G9" s="141">
        <v>3396109.3748675077</v>
      </c>
      <c r="H9" s="28">
        <f t="shared" si="2"/>
        <v>0.14119922846019106</v>
      </c>
      <c r="I9" s="141">
        <v>18016526.920533553</v>
      </c>
      <c r="J9" s="28">
        <f t="shared" si="3"/>
        <v>0.10675792694612296</v>
      </c>
      <c r="K9" s="141">
        <v>7594568.9109338811</v>
      </c>
      <c r="L9" s="28">
        <f t="shared" si="4"/>
        <v>7.4071602741142523E-2</v>
      </c>
      <c r="P9" s="67"/>
      <c r="Q9" s="68"/>
      <c r="R9" s="68"/>
      <c r="S9" s="68"/>
      <c r="T9" s="68"/>
    </row>
    <row r="10" spans="2:32" x14ac:dyDescent="0.2">
      <c r="B10" s="25" t="s">
        <v>54</v>
      </c>
      <c r="C10" s="141">
        <v>36147.768386290671</v>
      </c>
      <c r="D10" s="28">
        <f t="shared" si="0"/>
        <v>0.10080442325974592</v>
      </c>
      <c r="E10" s="141">
        <v>3626022.9748182273</v>
      </c>
      <c r="F10" s="28">
        <f t="shared" si="1"/>
        <v>0.11831544310950956</v>
      </c>
      <c r="G10" s="141">
        <v>2846616.0544983144</v>
      </c>
      <c r="H10" s="28">
        <f t="shared" si="2"/>
        <v>0.11835307590269706</v>
      </c>
      <c r="I10" s="141">
        <v>22676016.613835946</v>
      </c>
      <c r="J10" s="28">
        <f t="shared" si="3"/>
        <v>0.13436799088785065</v>
      </c>
      <c r="K10" s="141">
        <v>13021812.082280375</v>
      </c>
      <c r="L10" s="28">
        <f t="shared" si="4"/>
        <v>0.12700477181000053</v>
      </c>
      <c r="O10" s="69"/>
      <c r="P10" s="68"/>
      <c r="Q10" s="70"/>
      <c r="R10" s="70"/>
      <c r="S10" s="70"/>
      <c r="T10" s="70"/>
    </row>
    <row r="11" spans="2:32" x14ac:dyDescent="0.2">
      <c r="B11" s="25" t="s">
        <v>55</v>
      </c>
      <c r="C11" s="141">
        <v>19439.87614661875</v>
      </c>
      <c r="D11" s="28">
        <f t="shared" si="0"/>
        <v>5.4211520950875593E-2</v>
      </c>
      <c r="E11" s="141">
        <v>2081950.8769063244</v>
      </c>
      <c r="F11" s="28">
        <f t="shared" si="1"/>
        <v>6.7933088743253794E-2</v>
      </c>
      <c r="G11" s="141">
        <v>1668507.7762349909</v>
      </c>
      <c r="H11" s="28">
        <f t="shared" si="2"/>
        <v>6.9371149359228446E-2</v>
      </c>
      <c r="I11" s="141">
        <v>17221496.551905937</v>
      </c>
      <c r="J11" s="28">
        <f t="shared" si="3"/>
        <v>0.10204693051555327</v>
      </c>
      <c r="K11" s="141">
        <v>11912275.070608489</v>
      </c>
      <c r="L11" s="28">
        <f t="shared" si="4"/>
        <v>0.11618319843052503</v>
      </c>
      <c r="O11" s="69"/>
      <c r="P11" s="68"/>
      <c r="Q11" s="70"/>
      <c r="R11" s="70"/>
      <c r="S11" s="70"/>
      <c r="T11" s="70"/>
    </row>
    <row r="12" spans="2:32" x14ac:dyDescent="0.2">
      <c r="B12" s="25" t="s">
        <v>56</v>
      </c>
      <c r="C12" s="141">
        <v>10693.406006907298</v>
      </c>
      <c r="D12" s="28">
        <f t="shared" si="0"/>
        <v>2.9820447383894694E-2</v>
      </c>
      <c r="E12" s="141">
        <v>1218128.0961438895</v>
      </c>
      <c r="F12" s="28">
        <f t="shared" si="1"/>
        <v>3.9746953193707343E-2</v>
      </c>
      <c r="G12" s="141">
        <v>982503.67472208501</v>
      </c>
      <c r="H12" s="28">
        <f t="shared" si="2"/>
        <v>4.0849320654012554E-2</v>
      </c>
      <c r="I12" s="141">
        <v>12356135.616836643</v>
      </c>
      <c r="J12" s="28">
        <f t="shared" si="3"/>
        <v>7.3216965141890356E-2</v>
      </c>
      <c r="K12" s="141">
        <v>9229953.0620506834</v>
      </c>
      <c r="L12" s="28">
        <f t="shared" si="4"/>
        <v>9.0021885975295007E-2</v>
      </c>
      <c r="O12" s="69"/>
      <c r="P12" s="68"/>
      <c r="Q12" s="70"/>
      <c r="R12" s="70"/>
      <c r="S12" s="70"/>
      <c r="T12" s="70"/>
    </row>
    <row r="13" spans="2:32" x14ac:dyDescent="0.2">
      <c r="B13" s="25" t="s">
        <v>57</v>
      </c>
      <c r="C13" s="141">
        <v>20264.803615690314</v>
      </c>
      <c r="D13" s="28">
        <f t="shared" si="0"/>
        <v>5.651197659345459E-2</v>
      </c>
      <c r="E13" s="141">
        <v>3243658.168623873</v>
      </c>
      <c r="F13" s="28">
        <f t="shared" si="1"/>
        <v>0.10583905733133213</v>
      </c>
      <c r="G13" s="141">
        <v>2660472.0448733643</v>
      </c>
      <c r="H13" s="28">
        <f t="shared" si="2"/>
        <v>0.11061381086723138</v>
      </c>
      <c r="I13" s="141">
        <v>45522299.605641432</v>
      </c>
      <c r="J13" s="28">
        <f t="shared" si="3"/>
        <v>0.26974490461753586</v>
      </c>
      <c r="K13" s="141">
        <v>36342753.002336897</v>
      </c>
      <c r="L13" s="28">
        <f t="shared" si="4"/>
        <v>0.35445935042250348</v>
      </c>
      <c r="O13" s="69"/>
      <c r="P13" s="68"/>
      <c r="Q13" s="70"/>
      <c r="R13" s="70"/>
      <c r="S13" s="70"/>
      <c r="T13" s="70"/>
    </row>
    <row r="14" spans="2:32" x14ac:dyDescent="0.2">
      <c r="B14" s="25" t="s">
        <v>58</v>
      </c>
      <c r="C14" s="141">
        <v>996.44712850369001</v>
      </c>
      <c r="D14" s="28">
        <f t="shared" si="0"/>
        <v>2.7787684435794787E-3</v>
      </c>
      <c r="E14" s="141">
        <v>390203.86297958327</v>
      </c>
      <c r="F14" s="28">
        <f t="shared" si="1"/>
        <v>1.2732170554927636E-2</v>
      </c>
      <c r="G14" s="141">
        <v>332174.55093256891</v>
      </c>
      <c r="H14" s="28">
        <f t="shared" si="2"/>
        <v>1.3810741978125774E-2</v>
      </c>
      <c r="I14" s="141">
        <v>7950689.8665471971</v>
      </c>
      <c r="J14" s="28">
        <f t="shared" si="3"/>
        <v>4.7112252638256483E-2</v>
      </c>
      <c r="K14" s="141">
        <v>6724861.7217665799</v>
      </c>
      <c r="L14" s="28">
        <f t="shared" si="4"/>
        <v>6.5589145583584862E-2</v>
      </c>
      <c r="O14" s="69"/>
      <c r="P14" s="68"/>
      <c r="Q14" s="70"/>
      <c r="R14" s="70"/>
      <c r="S14" s="70"/>
      <c r="T14" s="70"/>
    </row>
    <row r="15" spans="2:32" x14ac:dyDescent="0.2">
      <c r="B15" s="100" t="s">
        <v>50</v>
      </c>
      <c r="C15" s="141">
        <v>486.62480621869503</v>
      </c>
      <c r="D15" s="28">
        <f t="shared" si="0"/>
        <v>1.3570390407106091E-3</v>
      </c>
      <c r="E15" s="141">
        <v>616180.54182761628</v>
      </c>
      <c r="F15" s="28">
        <f t="shared" si="1"/>
        <v>2.0105684478032512E-2</v>
      </c>
      <c r="G15" s="141">
        <v>566063.93940173613</v>
      </c>
      <c r="H15" s="28">
        <f t="shared" si="2"/>
        <v>2.3535105227810785E-2</v>
      </c>
      <c r="I15" s="141">
        <v>14676552.424206935</v>
      </c>
      <c r="J15" s="28">
        <f t="shared" si="3"/>
        <v>8.6966723299965881E-2</v>
      </c>
      <c r="K15" s="141">
        <v>13474522.277543278</v>
      </c>
      <c r="L15" s="28">
        <f t="shared" si="4"/>
        <v>0.1314201599819482</v>
      </c>
      <c r="O15" s="69"/>
      <c r="P15" s="68"/>
      <c r="Q15" s="70"/>
      <c r="R15" s="70"/>
      <c r="S15" s="70"/>
      <c r="T15" s="70"/>
    </row>
    <row r="16" spans="2:32" x14ac:dyDescent="0.2">
      <c r="B16" s="10" t="s">
        <v>0</v>
      </c>
      <c r="C16" s="96">
        <f>SUM(C5:C15)</f>
        <v>358593.07773774548</v>
      </c>
      <c r="D16" s="29">
        <f t="shared" ref="D16:L16" si="5">SUM(D5:D15)</f>
        <v>0.99999999999999967</v>
      </c>
      <c r="E16" s="96">
        <f t="shared" si="5"/>
        <v>30647081.053164624</v>
      </c>
      <c r="F16" s="29">
        <f t="shared" si="5"/>
        <v>1</v>
      </c>
      <c r="G16" s="96">
        <f t="shared" si="5"/>
        <v>24051897.534447137</v>
      </c>
      <c r="H16" s="29">
        <f t="shared" si="5"/>
        <v>1.0000000000000002</v>
      </c>
      <c r="I16" s="96">
        <f t="shared" si="5"/>
        <v>168760554.23618212</v>
      </c>
      <c r="J16" s="29">
        <f t="shared" si="5"/>
        <v>1</v>
      </c>
      <c r="K16" s="96">
        <f t="shared" si="5"/>
        <v>102530101.00881122</v>
      </c>
      <c r="L16" s="29">
        <f t="shared" si="5"/>
        <v>1</v>
      </c>
      <c r="O16" s="69"/>
      <c r="P16" s="68"/>
      <c r="Q16" s="70"/>
      <c r="R16" s="70"/>
      <c r="S16" s="70"/>
      <c r="T16" s="70"/>
    </row>
    <row r="17" spans="15:20" x14ac:dyDescent="0.2">
      <c r="O17" s="69"/>
      <c r="P17" s="68"/>
      <c r="Q17" s="70"/>
      <c r="R17" s="70"/>
      <c r="S17" s="70"/>
      <c r="T17" s="70"/>
    </row>
    <row r="18" spans="15:20" x14ac:dyDescent="0.2">
      <c r="O18" s="69"/>
      <c r="P18" s="68"/>
      <c r="Q18" s="70"/>
      <c r="R18" s="70"/>
      <c r="S18" s="70"/>
      <c r="T18" s="70"/>
    </row>
    <row r="19" spans="15:20" x14ac:dyDescent="0.2">
      <c r="O19" s="69"/>
      <c r="P19" s="52"/>
      <c r="Q19" s="52"/>
      <c r="R19" s="52"/>
      <c r="S19" s="52"/>
      <c r="T19" s="52"/>
    </row>
    <row r="20" spans="15:20" x14ac:dyDescent="0.2">
      <c r="O20" s="69"/>
      <c r="P20" s="62"/>
      <c r="Q20" s="62"/>
      <c r="R20" s="62"/>
      <c r="S20" s="62"/>
      <c r="T20" s="62"/>
    </row>
    <row r="21" spans="15:20" x14ac:dyDescent="0.2">
      <c r="O21" s="69"/>
    </row>
    <row r="22" spans="15:20" x14ac:dyDescent="0.2">
      <c r="O22" s="69"/>
    </row>
    <row r="23" spans="15:20" x14ac:dyDescent="0.2">
      <c r="O23" s="69"/>
    </row>
    <row r="24" spans="15:20" x14ac:dyDescent="0.2">
      <c r="O24" s="69"/>
    </row>
    <row r="25" spans="15:20" x14ac:dyDescent="0.2">
      <c r="O25" s="69"/>
    </row>
    <row r="26" spans="15:20" x14ac:dyDescent="0.2">
      <c r="O26" s="69"/>
    </row>
    <row r="27" spans="15:20" x14ac:dyDescent="0.2">
      <c r="O27" s="69"/>
    </row>
    <row r="28" spans="15:20" x14ac:dyDescent="0.2">
      <c r="O28" s="69"/>
    </row>
    <row r="29" spans="15:20" x14ac:dyDescent="0.2">
      <c r="O29" s="69"/>
    </row>
    <row r="31" spans="15:20" x14ac:dyDescent="0.2">
      <c r="P31" s="62"/>
      <c r="Q31" s="62"/>
      <c r="R31" s="62"/>
      <c r="S31" s="62"/>
      <c r="T31" s="62"/>
    </row>
    <row r="32" spans="15:20" x14ac:dyDescent="0.2">
      <c r="P32" s="62"/>
      <c r="Q32" s="62"/>
      <c r="R32" s="62"/>
      <c r="S32" s="62"/>
      <c r="T32" s="62"/>
    </row>
    <row r="33" spans="16:20" x14ac:dyDescent="0.2">
      <c r="P33" s="62"/>
      <c r="Q33" s="62"/>
      <c r="R33" s="62"/>
      <c r="S33" s="62"/>
      <c r="T33" s="62"/>
    </row>
    <row r="34" spans="16:20" x14ac:dyDescent="0.2">
      <c r="Q34" s="62"/>
      <c r="R34" s="62"/>
      <c r="S34" s="62"/>
      <c r="T34" s="62"/>
    </row>
    <row r="35" spans="16:20" x14ac:dyDescent="0.2">
      <c r="Q35" s="62"/>
      <c r="R35" s="62"/>
      <c r="S35" s="62"/>
      <c r="T35" s="62"/>
    </row>
    <row r="36" spans="16:20" x14ac:dyDescent="0.2">
      <c r="Q36" s="62"/>
      <c r="R36" s="62"/>
      <c r="S36" s="62"/>
      <c r="T36" s="62"/>
    </row>
    <row r="37" spans="16:20" x14ac:dyDescent="0.2">
      <c r="Q37" s="62"/>
      <c r="R37" s="62"/>
      <c r="S37" s="62"/>
      <c r="T37" s="62"/>
    </row>
    <row r="38" spans="16:20" x14ac:dyDescent="0.2">
      <c r="Q38" s="62"/>
      <c r="R38" s="62"/>
      <c r="S38" s="62"/>
      <c r="T38" s="62"/>
    </row>
    <row r="39" spans="16:20" x14ac:dyDescent="0.2">
      <c r="Q39" s="62"/>
      <c r="R39" s="62"/>
      <c r="S39" s="62"/>
      <c r="T39" s="62"/>
    </row>
    <row r="40" spans="16:20" x14ac:dyDescent="0.2">
      <c r="Q40" s="62"/>
      <c r="R40" s="62"/>
      <c r="S40" s="62"/>
      <c r="T40" s="62"/>
    </row>
    <row r="41" spans="16:20" x14ac:dyDescent="0.2">
      <c r="Q41" s="62"/>
      <c r="R41" s="62"/>
      <c r="S41" s="62"/>
      <c r="T41" s="62"/>
    </row>
    <row r="42" spans="16:20" x14ac:dyDescent="0.2">
      <c r="Q42" s="62"/>
      <c r="R42" s="62"/>
      <c r="S42" s="62"/>
      <c r="T42" s="62"/>
    </row>
    <row r="43" spans="16:20" x14ac:dyDescent="0.2">
      <c r="Q43" s="62"/>
      <c r="R43" s="62"/>
      <c r="S43" s="62"/>
      <c r="T43" s="62"/>
    </row>
    <row r="44" spans="16:20" x14ac:dyDescent="0.2">
      <c r="Q44" s="62"/>
      <c r="R44" s="62"/>
      <c r="S44" s="62"/>
      <c r="T44" s="62"/>
    </row>
    <row r="45" spans="16:20" x14ac:dyDescent="0.2">
      <c r="Q45" s="62"/>
      <c r="R45" s="62"/>
      <c r="S45" s="62"/>
      <c r="T45" s="62"/>
    </row>
  </sheetData>
  <mergeCells count="6">
    <mergeCell ref="K3:L3"/>
    <mergeCell ref="B3:B4"/>
    <mergeCell ref="C3:D3"/>
    <mergeCell ref="E3:F3"/>
    <mergeCell ref="G3:H3"/>
    <mergeCell ref="I3:J3"/>
  </mergeCells>
  <phoneticPr fontId="3" type="noConversion"/>
  <pageMargins left="0.78740157480314965" right="0.78740157480314965" top="0.98425196850393704" bottom="0.98425196850393704" header="0.51181102362204722" footer="0.5118110236220472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pageSetUpPr fitToPage="1"/>
  </sheetPr>
  <dimension ref="B1:AF20"/>
  <sheetViews>
    <sheetView view="pageBreakPreview" zoomScaleNormal="100" zoomScaleSheetLayoutView="100" workbookViewId="0"/>
  </sheetViews>
  <sheetFormatPr baseColWidth="10" defaultRowHeight="12.75" x14ac:dyDescent="0.2"/>
  <cols>
    <col min="1" max="1" width="2" style="92" customWidth="1"/>
    <col min="2" max="2" width="18.28515625" style="92" customWidth="1"/>
    <col min="3" max="4" width="12.7109375" style="92" customWidth="1"/>
    <col min="5" max="13" width="12.140625" style="92" customWidth="1"/>
    <col min="14" max="16384" width="11.42578125" style="92"/>
  </cols>
  <sheetData>
    <row r="1" spans="2:32" s="11" customFormat="1" ht="15.75" x14ac:dyDescent="0.2">
      <c r="B1" s="215" t="str">
        <f>Inhaltsverzeichnis!B26&amp;" "&amp;Inhaltsverzeichnis!C26&amp;" "&amp;Inhaltsverzeichnis!E26</f>
        <v>Tabelle 5: Verteilung der Pflichtigen nach Reineinkommens- und Reinvermögensstufen, 2013, in Promille</v>
      </c>
      <c r="C1" s="216"/>
      <c r="D1" s="216"/>
      <c r="E1" s="216"/>
      <c r="F1" s="216"/>
      <c r="G1" s="216"/>
      <c r="H1" s="216"/>
      <c r="I1" s="216"/>
      <c r="J1" s="216"/>
      <c r="K1" s="216"/>
      <c r="L1" s="216"/>
      <c r="M1" s="216"/>
      <c r="N1" s="216"/>
      <c r="O1" s="216"/>
      <c r="P1" s="216"/>
      <c r="Q1" s="216"/>
      <c r="R1" s="216"/>
      <c r="S1" s="216"/>
      <c r="T1" s="98"/>
      <c r="U1" s="98"/>
      <c r="V1" s="98"/>
      <c r="W1" s="98"/>
      <c r="X1" s="98"/>
      <c r="Y1" s="98"/>
      <c r="Z1" s="98"/>
      <c r="AA1" s="98"/>
      <c r="AB1" s="98"/>
      <c r="AC1" s="98"/>
      <c r="AD1" s="98"/>
      <c r="AE1" s="98"/>
      <c r="AF1" s="98"/>
    </row>
    <row r="3" spans="2:32" s="107" customFormat="1" x14ac:dyDescent="0.2">
      <c r="B3" s="252" t="s">
        <v>156</v>
      </c>
      <c r="C3" s="244" t="s">
        <v>566</v>
      </c>
      <c r="D3" s="254"/>
      <c r="E3" s="245"/>
      <c r="F3" s="245"/>
      <c r="G3" s="245"/>
      <c r="H3" s="245"/>
      <c r="I3" s="245"/>
      <c r="J3" s="245"/>
      <c r="K3" s="245"/>
      <c r="L3" s="245"/>
      <c r="M3" s="245"/>
      <c r="N3" s="255"/>
    </row>
    <row r="4" spans="2:32" s="107" customFormat="1" ht="27.75" customHeight="1" x14ac:dyDescent="0.2">
      <c r="B4" s="253"/>
      <c r="C4" s="102" t="s">
        <v>11</v>
      </c>
      <c r="D4" s="102" t="s">
        <v>167</v>
      </c>
      <c r="E4" s="99" t="s">
        <v>168</v>
      </c>
      <c r="F4" s="99" t="s">
        <v>169</v>
      </c>
      <c r="G4" s="99" t="s">
        <v>170</v>
      </c>
      <c r="H4" s="99" t="s">
        <v>171</v>
      </c>
      <c r="I4" s="99" t="s">
        <v>172</v>
      </c>
      <c r="J4" s="99" t="s">
        <v>173</v>
      </c>
      <c r="K4" s="99" t="s">
        <v>174</v>
      </c>
      <c r="L4" s="99" t="s">
        <v>18</v>
      </c>
      <c r="M4" s="99" t="s">
        <v>175</v>
      </c>
      <c r="N4" s="103" t="s">
        <v>0</v>
      </c>
    </row>
    <row r="5" spans="2:32" x14ac:dyDescent="0.2">
      <c r="B5" s="117">
        <v>0</v>
      </c>
      <c r="C5" s="34">
        <v>13.215502769148397</v>
      </c>
      <c r="D5" s="34">
        <v>17.758244700134416</v>
      </c>
      <c r="E5" s="34">
        <v>3.3910216010306917</v>
      </c>
      <c r="F5" s="34">
        <v>2.2811313072722914</v>
      </c>
      <c r="G5" s="34">
        <v>2.2225692565965964</v>
      </c>
      <c r="H5" s="34">
        <v>1.6006960518023168</v>
      </c>
      <c r="I5" s="34">
        <v>0.7613066587840287</v>
      </c>
      <c r="J5" s="34">
        <v>0.41272302380965659</v>
      </c>
      <c r="K5" s="34">
        <v>0.71668795350730907</v>
      </c>
      <c r="L5" s="34">
        <v>2.5098021718154794E-2</v>
      </c>
      <c r="M5" s="34">
        <v>1.3943345398974885E-2</v>
      </c>
      <c r="N5" s="104">
        <v>42.398924689202829</v>
      </c>
    </row>
    <row r="6" spans="2:32" x14ac:dyDescent="0.2">
      <c r="B6" s="116" t="s">
        <v>163</v>
      </c>
      <c r="C6" s="34">
        <v>13.237812121786757</v>
      </c>
      <c r="D6" s="34">
        <v>32.741763665872824</v>
      </c>
      <c r="E6" s="34">
        <v>4.3559011026397538</v>
      </c>
      <c r="F6" s="34">
        <v>2.3954667395438851</v>
      </c>
      <c r="G6" s="34">
        <v>1.8879289670211996</v>
      </c>
      <c r="H6" s="34">
        <v>1.0987356174392211</v>
      </c>
      <c r="I6" s="34">
        <v>0.59677518307612509</v>
      </c>
      <c r="J6" s="34">
        <v>0.30117626061785752</v>
      </c>
      <c r="K6" s="34">
        <v>0.38204766393191181</v>
      </c>
      <c r="L6" s="34">
        <v>8.366007239384932E-3</v>
      </c>
      <c r="M6" s="34">
        <v>1.1154676319179909E-2</v>
      </c>
      <c r="N6" s="104">
        <v>57.017128005488104</v>
      </c>
    </row>
    <row r="7" spans="2:32" x14ac:dyDescent="0.2">
      <c r="B7" s="105" t="s">
        <v>162</v>
      </c>
      <c r="C7" s="34">
        <v>11.712410135138903</v>
      </c>
      <c r="D7" s="34">
        <v>23.656279803900791</v>
      </c>
      <c r="E7" s="34">
        <v>5.0084496673117789</v>
      </c>
      <c r="F7" s="34">
        <v>3.798167286680759</v>
      </c>
      <c r="G7" s="34">
        <v>3.3408255575943824</v>
      </c>
      <c r="H7" s="34">
        <v>1.9994757302129986</v>
      </c>
      <c r="I7" s="34">
        <v>0.86169874565664795</v>
      </c>
      <c r="J7" s="34">
        <v>0.44618705276719633</v>
      </c>
      <c r="K7" s="34">
        <v>0.63581655019325478</v>
      </c>
      <c r="L7" s="34">
        <v>1.3943345398974885E-2</v>
      </c>
      <c r="M7" s="34">
        <v>8.366007239384932E-3</v>
      </c>
      <c r="N7" s="104">
        <v>51.481619882095067</v>
      </c>
    </row>
    <row r="8" spans="2:32" x14ac:dyDescent="0.2">
      <c r="B8" s="105" t="s">
        <v>161</v>
      </c>
      <c r="C8" s="34">
        <v>13.996330111490989</v>
      </c>
      <c r="D8" s="34">
        <v>26.679197086398545</v>
      </c>
      <c r="E8" s="34">
        <v>7.7246133510320858</v>
      </c>
      <c r="F8" s="34">
        <v>7.0776421245196515</v>
      </c>
      <c r="G8" s="34">
        <v>8.6867041835613534</v>
      </c>
      <c r="H8" s="34">
        <v>6.1183399610701796</v>
      </c>
      <c r="I8" s="34">
        <v>2.4484514520599903</v>
      </c>
      <c r="J8" s="34">
        <v>0.93141547265152236</v>
      </c>
      <c r="K8" s="34">
        <v>1.0039208687261918</v>
      </c>
      <c r="L8" s="34">
        <v>1.3943345398974885E-2</v>
      </c>
      <c r="M8" s="34">
        <v>1.3943345398974885E-2</v>
      </c>
      <c r="N8" s="104">
        <v>74.694501302308467</v>
      </c>
    </row>
    <row r="9" spans="2:32" x14ac:dyDescent="0.2">
      <c r="B9" s="105" t="s">
        <v>160</v>
      </c>
      <c r="C9" s="34">
        <v>42.688946273501514</v>
      </c>
      <c r="D9" s="34">
        <v>67.689364573863472</v>
      </c>
      <c r="E9" s="34">
        <v>21.852010909273439</v>
      </c>
      <c r="F9" s="34">
        <v>21.514581950618247</v>
      </c>
      <c r="G9" s="34">
        <v>25.078501034596229</v>
      </c>
      <c r="H9" s="34">
        <v>20.588743816126314</v>
      </c>
      <c r="I9" s="34">
        <v>10.683391244694556</v>
      </c>
      <c r="J9" s="34">
        <v>5.1172077614237832</v>
      </c>
      <c r="K9" s="34">
        <v>5.334723949647791</v>
      </c>
      <c r="L9" s="34">
        <v>6.9716726994874426E-2</v>
      </c>
      <c r="M9" s="34">
        <v>1.3943345398974885E-2</v>
      </c>
      <c r="N9" s="104">
        <v>220.63113158613919</v>
      </c>
    </row>
    <row r="10" spans="2:32" x14ac:dyDescent="0.2">
      <c r="B10" s="105" t="s">
        <v>159</v>
      </c>
      <c r="C10" s="34">
        <v>48.168681015298638</v>
      </c>
      <c r="D10" s="34">
        <v>49.175390553104627</v>
      </c>
      <c r="E10" s="34">
        <v>22.769483036525987</v>
      </c>
      <c r="F10" s="34">
        <v>26.835362554867064</v>
      </c>
      <c r="G10" s="34">
        <v>35.075879685661221</v>
      </c>
      <c r="H10" s="34">
        <v>24.961376933244839</v>
      </c>
      <c r="I10" s="34">
        <v>13.728617879830672</v>
      </c>
      <c r="J10" s="34">
        <v>7.4318030976536145</v>
      </c>
      <c r="K10" s="34">
        <v>10.867443403961026</v>
      </c>
      <c r="L10" s="34">
        <v>9.202607963323424E-2</v>
      </c>
      <c r="M10" s="34">
        <v>1.3943345398974885E-2</v>
      </c>
      <c r="N10" s="104">
        <v>239.12000758517991</v>
      </c>
    </row>
    <row r="11" spans="2:32" x14ac:dyDescent="0.2">
      <c r="B11" s="105" t="s">
        <v>158</v>
      </c>
      <c r="C11" s="34">
        <v>31.068562217995837</v>
      </c>
      <c r="D11" s="34">
        <v>17.111273473621978</v>
      </c>
      <c r="E11" s="34">
        <v>10.728009949971277</v>
      </c>
      <c r="F11" s="34">
        <v>15.206612492122009</v>
      </c>
      <c r="G11" s="34">
        <v>25.424296000490806</v>
      </c>
      <c r="H11" s="34">
        <v>19.258548665064112</v>
      </c>
      <c r="I11" s="34">
        <v>9.9220845859105271</v>
      </c>
      <c r="J11" s="34">
        <v>5.7725449951756023</v>
      </c>
      <c r="K11" s="34">
        <v>9.9053525714317594</v>
      </c>
      <c r="L11" s="34">
        <v>0.10318075595241415</v>
      </c>
      <c r="M11" s="34">
        <v>1.9520683558564841E-2</v>
      </c>
      <c r="N11" s="104">
        <v>144.51998639129491</v>
      </c>
    </row>
    <row r="12" spans="2:32" x14ac:dyDescent="0.2">
      <c r="B12" s="105" t="s">
        <v>157</v>
      </c>
      <c r="C12" s="34">
        <v>24.280941677774866</v>
      </c>
      <c r="D12" s="34">
        <v>7.445746443052589</v>
      </c>
      <c r="E12" s="34">
        <v>6.3274901420548026</v>
      </c>
      <c r="F12" s="34">
        <v>10.175853472171871</v>
      </c>
      <c r="G12" s="34">
        <v>20.276412879189277</v>
      </c>
      <c r="H12" s="34">
        <v>17.253495596691522</v>
      </c>
      <c r="I12" s="34">
        <v>9.4507995114251777</v>
      </c>
      <c r="J12" s="34">
        <v>5.6944622609413429</v>
      </c>
      <c r="K12" s="34">
        <v>12.905960501291153</v>
      </c>
      <c r="L12" s="34">
        <v>0.38483633301170683</v>
      </c>
      <c r="M12" s="34">
        <v>4.4618705276719635E-2</v>
      </c>
      <c r="N12" s="104">
        <v>114.24061752288104</v>
      </c>
    </row>
    <row r="13" spans="2:32" x14ac:dyDescent="0.2">
      <c r="B13" s="105" t="s">
        <v>164</v>
      </c>
      <c r="C13" s="34">
        <v>7.4373804358132034</v>
      </c>
      <c r="D13" s="34">
        <v>1.0541169121625014</v>
      </c>
      <c r="E13" s="34">
        <v>1.1628750062745055</v>
      </c>
      <c r="F13" s="34">
        <v>2.1165998315643875</v>
      </c>
      <c r="G13" s="34">
        <v>5.9956385215592007</v>
      </c>
      <c r="H13" s="34">
        <v>6.6816511151887648</v>
      </c>
      <c r="I13" s="34">
        <v>4.5037005638688878</v>
      </c>
      <c r="J13" s="34">
        <v>2.8304991159919015</v>
      </c>
      <c r="K13" s="34">
        <v>9.2472266686001454</v>
      </c>
      <c r="L13" s="34">
        <v>0.76967266602341367</v>
      </c>
      <c r="M13" s="34">
        <v>0.16453147570790363</v>
      </c>
      <c r="N13" s="104">
        <v>41.963892312754815</v>
      </c>
    </row>
    <row r="14" spans="2:32" x14ac:dyDescent="0.2">
      <c r="B14" s="105" t="s">
        <v>165</v>
      </c>
      <c r="C14" s="34">
        <v>1.2242257260299951</v>
      </c>
      <c r="D14" s="34">
        <v>9.4814748713029209E-2</v>
      </c>
      <c r="E14" s="34">
        <v>8.3660072393849302E-2</v>
      </c>
      <c r="F14" s="34">
        <v>0.23424820270277807</v>
      </c>
      <c r="G14" s="34">
        <v>0.85333273841726298</v>
      </c>
      <c r="H14" s="34">
        <v>1.1461429917957355</v>
      </c>
      <c r="I14" s="34">
        <v>1.1349883154765557</v>
      </c>
      <c r="J14" s="34">
        <v>0.79755935682136347</v>
      </c>
      <c r="K14" s="34">
        <v>4.4535045204325785</v>
      </c>
      <c r="L14" s="34">
        <v>0.77803867326279863</v>
      </c>
      <c r="M14" s="34">
        <v>0.3457949658945772</v>
      </c>
      <c r="N14" s="104">
        <v>11.146310311940523</v>
      </c>
    </row>
    <row r="15" spans="2:32" x14ac:dyDescent="0.2">
      <c r="B15" s="105" t="s">
        <v>166</v>
      </c>
      <c r="C15" s="34">
        <v>0.13385611583015891</v>
      </c>
      <c r="D15" s="34">
        <v>5.5773381595899544E-3</v>
      </c>
      <c r="E15" s="34">
        <v>1.1154676319179909E-2</v>
      </c>
      <c r="F15" s="34">
        <v>8.366007239384932E-3</v>
      </c>
      <c r="G15" s="34">
        <v>2.7886690797949771E-2</v>
      </c>
      <c r="H15" s="34">
        <v>9.7603417792824207E-2</v>
      </c>
      <c r="I15" s="34">
        <v>0.10596942503220912</v>
      </c>
      <c r="J15" s="34">
        <v>7.5294065154464379E-2</v>
      </c>
      <c r="K15" s="34">
        <v>0.91189478909295751</v>
      </c>
      <c r="L15" s="34">
        <v>0.4210890310490415</v>
      </c>
      <c r="M15" s="34">
        <v>0.35694964221375708</v>
      </c>
      <c r="N15" s="104">
        <v>2.1556411986815172</v>
      </c>
    </row>
    <row r="16" spans="2:32" x14ac:dyDescent="0.2">
      <c r="B16" s="118" t="s">
        <v>586</v>
      </c>
      <c r="C16" s="34">
        <v>5.5773381595899544E-3</v>
      </c>
      <c r="D16" s="34">
        <v>0</v>
      </c>
      <c r="E16" s="34">
        <v>0</v>
      </c>
      <c r="F16" s="34">
        <v>0</v>
      </c>
      <c r="G16" s="34">
        <v>5.5773381595899544E-3</v>
      </c>
      <c r="H16" s="34">
        <v>2.7886690797949772E-3</v>
      </c>
      <c r="I16" s="34">
        <v>1.1154676319179909E-2</v>
      </c>
      <c r="J16" s="34">
        <v>1.1154676319179909E-2</v>
      </c>
      <c r="K16" s="34">
        <v>0.14779946122913379</v>
      </c>
      <c r="L16" s="34">
        <v>9.7603417792824207E-2</v>
      </c>
      <c r="M16" s="34">
        <v>0.34858363497437217</v>
      </c>
      <c r="N16" s="104">
        <v>0.63023921203366484</v>
      </c>
    </row>
    <row r="17" spans="2:14" x14ac:dyDescent="0.2">
      <c r="B17" s="61" t="s">
        <v>0</v>
      </c>
      <c r="C17" s="104">
        <v>207.17022593796887</v>
      </c>
      <c r="D17" s="104">
        <v>243.41176929898435</v>
      </c>
      <c r="E17" s="104">
        <v>83.414669514827352</v>
      </c>
      <c r="F17" s="104">
        <v>91.644031969302333</v>
      </c>
      <c r="G17" s="104">
        <v>128.87555285364508</v>
      </c>
      <c r="H17" s="104">
        <v>100.80759856550863</v>
      </c>
      <c r="I17" s="104">
        <v>54.208938242134558</v>
      </c>
      <c r="J17" s="104">
        <v>29.822027139327485</v>
      </c>
      <c r="K17" s="104">
        <v>56.512378902045214</v>
      </c>
      <c r="L17" s="104">
        <v>2.7775144034757973</v>
      </c>
      <c r="M17" s="104">
        <v>1.3552931727803588</v>
      </c>
      <c r="N17" s="38">
        <v>1000</v>
      </c>
    </row>
    <row r="20" spans="2:14" x14ac:dyDescent="0.2">
      <c r="B20" s="107"/>
    </row>
  </sheetData>
  <mergeCells count="2">
    <mergeCell ref="B3:B4"/>
    <mergeCell ref="C3:N3"/>
  </mergeCells>
  <pageMargins left="0.78740157480314965" right="0.78740157480314965" top="0.98425196850393704" bottom="0.98425196850393704" header="0.51181102362204722" footer="0.51181102362204722"/>
  <pageSetup paperSize="9" scale="7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F6E51"/>
    <pageSetUpPr fitToPage="1"/>
  </sheetPr>
  <dimension ref="B1:Z39"/>
  <sheetViews>
    <sheetView view="pageBreakPreview" zoomScaleNormal="100" zoomScaleSheetLayoutView="100" workbookViewId="0">
      <selection activeCell="B1" sqref="B1"/>
    </sheetView>
  </sheetViews>
  <sheetFormatPr baseColWidth="10" defaultRowHeight="12.75" x14ac:dyDescent="0.2"/>
  <cols>
    <col min="1" max="1" width="2" style="1" customWidth="1"/>
    <col min="2" max="2" width="41.28515625" style="1" customWidth="1"/>
    <col min="3" max="8" width="12.7109375" style="1" customWidth="1"/>
    <col min="9" max="16384" width="11.42578125" style="1"/>
  </cols>
  <sheetData>
    <row r="1" spans="2:26" s="11" customFormat="1" ht="15.75" x14ac:dyDescent="0.2">
      <c r="B1" s="213" t="str">
        <f>Inhaltsverzeichnis!B29&amp;" "&amp;Inhaltsverzeichnis!C29&amp;" "&amp;Inhaltsverzeichnis!E29</f>
        <v>Tabelle 6: Zusammensetzung des Reineinkommens und des Reinvermögens nach Zivilstand, 2013, in Franken pro Pflichtigen</v>
      </c>
      <c r="C1" s="214"/>
      <c r="D1" s="214"/>
      <c r="E1" s="214"/>
      <c r="F1" s="214"/>
      <c r="G1" s="214"/>
      <c r="H1" s="214"/>
      <c r="I1" s="214"/>
      <c r="J1" s="214"/>
      <c r="K1" s="214"/>
      <c r="L1" s="214"/>
      <c r="M1" s="214"/>
      <c r="N1" s="214"/>
      <c r="O1" s="214"/>
      <c r="P1" s="214"/>
      <c r="Q1" s="214"/>
      <c r="R1" s="78"/>
      <c r="S1" s="78"/>
      <c r="T1" s="78"/>
      <c r="U1" s="78"/>
      <c r="V1" s="78"/>
      <c r="W1" s="78"/>
      <c r="X1" s="78"/>
      <c r="Y1" s="78"/>
      <c r="Z1" s="78"/>
    </row>
    <row r="3" spans="2:26" s="45" customFormat="1" ht="29.25" customHeight="1" x14ac:dyDescent="0.2">
      <c r="B3" s="83" t="s">
        <v>608</v>
      </c>
      <c r="C3" s="47" t="s">
        <v>64</v>
      </c>
      <c r="D3" s="47" t="s">
        <v>68</v>
      </c>
      <c r="E3" s="47" t="s">
        <v>66</v>
      </c>
      <c r="F3" s="47" t="s">
        <v>67</v>
      </c>
      <c r="G3" s="46" t="s">
        <v>69</v>
      </c>
      <c r="H3" s="47" t="s">
        <v>0</v>
      </c>
    </row>
    <row r="4" spans="2:26" s="45" customFormat="1" ht="14.25" x14ac:dyDescent="0.2">
      <c r="B4" s="84" t="s">
        <v>442</v>
      </c>
      <c r="C4" s="110">
        <v>137861.603516809</v>
      </c>
      <c r="D4" s="110">
        <v>136909.862298316</v>
      </c>
      <c r="E4" s="110">
        <v>27564.305186555601</v>
      </c>
      <c r="F4" s="110">
        <v>47994.033850028303</v>
      </c>
      <c r="G4" s="110">
        <v>8263.2728858953105</v>
      </c>
      <c r="H4" s="110">
        <v>358593.07773764897</v>
      </c>
      <c r="J4" s="182"/>
    </row>
    <row r="5" spans="2:26" x14ac:dyDescent="0.2">
      <c r="B5" s="262" t="s">
        <v>606</v>
      </c>
      <c r="C5" s="263"/>
      <c r="D5" s="263"/>
      <c r="E5" s="263"/>
      <c r="F5" s="263"/>
      <c r="G5" s="263"/>
      <c r="H5" s="264"/>
      <c r="I5" s="106"/>
      <c r="J5" s="106"/>
      <c r="K5" s="106"/>
      <c r="L5" s="106"/>
    </row>
    <row r="6" spans="2:26" x14ac:dyDescent="0.2">
      <c r="B6" s="108" t="s">
        <v>70</v>
      </c>
      <c r="C6" s="33">
        <v>43899.027941346481</v>
      </c>
      <c r="D6" s="33">
        <v>65097.20256431523</v>
      </c>
      <c r="E6" s="33">
        <v>6305.1208493355616</v>
      </c>
      <c r="F6" s="33">
        <v>46030.828350148193</v>
      </c>
      <c r="G6" s="33">
        <v>46397.818324533546</v>
      </c>
      <c r="H6" s="33">
        <v>49445.568718764793</v>
      </c>
    </row>
    <row r="7" spans="2:26" x14ac:dyDescent="0.2">
      <c r="B7" s="108" t="s">
        <v>71</v>
      </c>
      <c r="C7" s="33">
        <v>0</v>
      </c>
      <c r="D7" s="33">
        <v>22335.736709258566</v>
      </c>
      <c r="E7" s="33">
        <v>0</v>
      </c>
      <c r="F7" s="33">
        <v>0</v>
      </c>
      <c r="G7" s="33">
        <v>0</v>
      </c>
      <c r="H7" s="33">
        <v>8527.7235592221259</v>
      </c>
    </row>
    <row r="8" spans="2:26" x14ac:dyDescent="0.2">
      <c r="B8" s="108" t="s">
        <v>72</v>
      </c>
      <c r="C8" s="33">
        <v>1662.9089114846824</v>
      </c>
      <c r="D8" s="33">
        <v>5812.612276492453</v>
      </c>
      <c r="E8" s="33">
        <v>884.39131254719302</v>
      </c>
      <c r="F8" s="33">
        <v>3962.9931876034998</v>
      </c>
      <c r="G8" s="33">
        <v>4261.480897081552</v>
      </c>
      <c r="H8" s="33">
        <v>3555.1346507798817</v>
      </c>
    </row>
    <row r="9" spans="2:26" x14ac:dyDescent="0.2">
      <c r="B9" s="108" t="s">
        <v>73</v>
      </c>
      <c r="C9" s="33">
        <v>0</v>
      </c>
      <c r="D9" s="33">
        <v>1201.4156002840396</v>
      </c>
      <c r="E9" s="33">
        <v>0</v>
      </c>
      <c r="F9" s="33">
        <v>0</v>
      </c>
      <c r="G9" s="33">
        <v>0</v>
      </c>
      <c r="H9" s="33">
        <v>458.69721031899508</v>
      </c>
    </row>
    <row r="10" spans="2:26" x14ac:dyDescent="0.2">
      <c r="B10" s="109" t="s">
        <v>94</v>
      </c>
      <c r="C10" s="33">
        <v>3737.7325643107952</v>
      </c>
      <c r="D10" s="33">
        <v>14413.221192902853</v>
      </c>
      <c r="E10" s="33">
        <v>37342.26698963227</v>
      </c>
      <c r="F10" s="33">
        <v>10954.729711675054</v>
      </c>
      <c r="G10" s="33">
        <v>9663.371349358531</v>
      </c>
      <c r="H10" s="33">
        <v>11499.185501183358</v>
      </c>
    </row>
    <row r="11" spans="2:26" x14ac:dyDescent="0.2">
      <c r="B11" s="109" t="s">
        <v>440</v>
      </c>
      <c r="C11" s="33">
        <v>0</v>
      </c>
      <c r="D11" s="33">
        <v>6112.0671139830474</v>
      </c>
      <c r="E11" s="33">
        <v>0</v>
      </c>
      <c r="F11" s="33">
        <v>0</v>
      </c>
      <c r="G11" s="33">
        <v>0</v>
      </c>
      <c r="H11" s="33">
        <v>2333.5706093740209</v>
      </c>
    </row>
    <row r="12" spans="2:26" x14ac:dyDescent="0.2">
      <c r="B12" s="109" t="s">
        <v>75</v>
      </c>
      <c r="C12" s="33">
        <v>957.12989250556757</v>
      </c>
      <c r="D12" s="33">
        <v>6810.2300473272471</v>
      </c>
      <c r="E12" s="33">
        <v>4330.1409546460873</v>
      </c>
      <c r="F12" s="33">
        <v>2113.4163132426766</v>
      </c>
      <c r="G12" s="33">
        <v>2383.3908451195171</v>
      </c>
      <c r="H12" s="33">
        <v>3638.7273223027555</v>
      </c>
    </row>
    <row r="13" spans="2:26" x14ac:dyDescent="0.2">
      <c r="B13" s="109" t="s">
        <v>76</v>
      </c>
      <c r="C13" s="33">
        <v>1196.9949464385293</v>
      </c>
      <c r="D13" s="33">
        <v>8765.0102047635901</v>
      </c>
      <c r="E13" s="33">
        <v>7262.3561691793775</v>
      </c>
      <c r="F13" s="33">
        <v>4300.9013974082445</v>
      </c>
      <c r="G13" s="33">
        <v>4556.7156362689602</v>
      </c>
      <c r="H13" s="33">
        <v>5045.5206445959011</v>
      </c>
    </row>
    <row r="14" spans="2:26" x14ac:dyDescent="0.2">
      <c r="B14" s="109" t="s">
        <v>77</v>
      </c>
      <c r="C14" s="33">
        <v>184.69804075481355</v>
      </c>
      <c r="D14" s="33">
        <v>298.88882745195809</v>
      </c>
      <c r="E14" s="33">
        <v>186.88754213379838</v>
      </c>
      <c r="F14" s="33">
        <v>3740.2063086106887</v>
      </c>
      <c r="G14" s="33">
        <v>7615.7714461671512</v>
      </c>
      <c r="H14" s="33">
        <v>875.57130042626761</v>
      </c>
    </row>
    <row r="15" spans="2:26" ht="14.25" x14ac:dyDescent="0.2">
      <c r="B15" s="10" t="s">
        <v>446</v>
      </c>
      <c r="C15" s="31">
        <v>51680.846872213224</v>
      </c>
      <c r="D15" s="31">
        <v>130972.22855274305</v>
      </c>
      <c r="E15" s="31">
        <v>56397.117400230709</v>
      </c>
      <c r="F15" s="31">
        <v>71195.741235645328</v>
      </c>
      <c r="G15" s="31">
        <v>74954.402962735461</v>
      </c>
      <c r="H15" s="31">
        <v>85464.787124472146</v>
      </c>
    </row>
    <row r="16" spans="2:26" x14ac:dyDescent="0.2">
      <c r="B16" s="256" t="s">
        <v>79</v>
      </c>
      <c r="C16" s="257"/>
      <c r="D16" s="257"/>
      <c r="E16" s="257"/>
      <c r="F16" s="257"/>
      <c r="G16" s="257"/>
      <c r="H16" s="257"/>
    </row>
    <row r="17" spans="2:23" x14ac:dyDescent="0.2">
      <c r="B17" s="109" t="s">
        <v>80</v>
      </c>
      <c r="C17" s="33">
        <v>5886.671010790179</v>
      </c>
      <c r="D17" s="33">
        <v>8390.0291093364358</v>
      </c>
      <c r="E17" s="33">
        <v>711.32096822034646</v>
      </c>
      <c r="F17" s="33">
        <v>4767.0672375116692</v>
      </c>
      <c r="G17" s="33">
        <v>4572.0194067861094</v>
      </c>
      <c r="H17" s="33">
        <v>6264.4860512889527</v>
      </c>
    </row>
    <row r="18" spans="2:23" x14ac:dyDescent="0.2">
      <c r="B18" s="109" t="s">
        <v>81</v>
      </c>
      <c r="C18" s="33">
        <v>1063.9757283720965</v>
      </c>
      <c r="D18" s="33">
        <v>7319.7925205717884</v>
      </c>
      <c r="E18" s="33">
        <v>2599.1423306719385</v>
      </c>
      <c r="F18" s="33">
        <v>3508.277273693107</v>
      </c>
      <c r="G18" s="33">
        <v>3494.5005491890815</v>
      </c>
      <c r="H18" s="33">
        <v>3953.5875519330766</v>
      </c>
    </row>
    <row r="19" spans="2:23" x14ac:dyDescent="0.2">
      <c r="B19" s="109" t="s">
        <v>82</v>
      </c>
      <c r="C19" s="33">
        <v>1833.4206734047721</v>
      </c>
      <c r="D19" s="33">
        <v>6076.5658590194525</v>
      </c>
      <c r="E19" s="33">
        <v>573.24467584749152</v>
      </c>
      <c r="F19" s="33">
        <v>2821.6514378370766</v>
      </c>
      <c r="G19" s="33">
        <v>1921.3945042644345</v>
      </c>
      <c r="H19" s="33">
        <v>3490.8667221949786</v>
      </c>
    </row>
    <row r="20" spans="2:23" x14ac:dyDescent="0.2">
      <c r="B20" s="109" t="s">
        <v>83</v>
      </c>
      <c r="C20" s="33">
        <v>2000.0194971535168</v>
      </c>
      <c r="D20" s="33">
        <v>3993.4005029849122</v>
      </c>
      <c r="E20" s="33">
        <v>2000.0552608204305</v>
      </c>
      <c r="F20" s="33">
        <v>2000.0512161585202</v>
      </c>
      <c r="G20" s="33">
        <v>2140.6500247697832</v>
      </c>
      <c r="H20" s="33">
        <v>2764.3345734375175</v>
      </c>
      <c r="J20" s="181"/>
    </row>
    <row r="21" spans="2:23" x14ac:dyDescent="0.2">
      <c r="B21" s="109" t="s">
        <v>84</v>
      </c>
      <c r="C21" s="33">
        <v>819.20792288907614</v>
      </c>
      <c r="D21" s="33">
        <v>2061.3014622903761</v>
      </c>
      <c r="E21" s="33">
        <v>4527.3704961464809</v>
      </c>
      <c r="F21" s="33">
        <v>4082.1360368996352</v>
      </c>
      <c r="G21" s="33">
        <v>7104.7808313949454</v>
      </c>
      <c r="H21" s="33">
        <v>2160.0265183461629</v>
      </c>
    </row>
    <row r="22" spans="2:23" s="81" customFormat="1" x14ac:dyDescent="0.2">
      <c r="B22" s="10" t="s">
        <v>91</v>
      </c>
      <c r="C22" s="31">
        <v>11603.294832609783</v>
      </c>
      <c r="D22" s="31">
        <v>27841.089454202891</v>
      </c>
      <c r="E22" s="31">
        <v>10411.133731706797</v>
      </c>
      <c r="F22" s="31">
        <v>17179.183202100008</v>
      </c>
      <c r="G22" s="31">
        <v>19233.345316404255</v>
      </c>
      <c r="H22" s="31">
        <v>18633.301417200775</v>
      </c>
    </row>
    <row r="23" spans="2:23" x14ac:dyDescent="0.2">
      <c r="B23" s="256" t="s">
        <v>30</v>
      </c>
      <c r="C23" s="257"/>
      <c r="D23" s="257"/>
      <c r="E23" s="257"/>
      <c r="F23" s="257"/>
      <c r="G23" s="257"/>
      <c r="H23" s="257"/>
    </row>
    <row r="24" spans="2:23" ht="14.25" x14ac:dyDescent="0.2">
      <c r="B24" s="10" t="s">
        <v>445</v>
      </c>
      <c r="C24" s="31">
        <v>40346.913289944801</v>
      </c>
      <c r="D24" s="31">
        <v>103256.594918918</v>
      </c>
      <c r="E24" s="31">
        <v>46731.8523159818</v>
      </c>
      <c r="F24" s="31">
        <v>54224.407942302903</v>
      </c>
      <c r="G24" s="31">
        <v>55932.083633407798</v>
      </c>
      <c r="H24" s="31">
        <v>67072.955468588101</v>
      </c>
    </row>
    <row r="25" spans="2:23" x14ac:dyDescent="0.2">
      <c r="B25" s="256" t="s">
        <v>607</v>
      </c>
      <c r="C25" s="257"/>
      <c r="D25" s="257"/>
      <c r="E25" s="257"/>
      <c r="F25" s="257"/>
      <c r="G25" s="257"/>
      <c r="H25" s="257"/>
    </row>
    <row r="26" spans="2:23" x14ac:dyDescent="0.2">
      <c r="B26" s="109" t="s">
        <v>85</v>
      </c>
      <c r="C26" s="33">
        <v>84270.830030590078</v>
      </c>
      <c r="D26" s="33">
        <v>317628.70556003635</v>
      </c>
      <c r="E26" s="33">
        <v>431585.53226435621</v>
      </c>
      <c r="F26" s="33">
        <v>126494.33317317055</v>
      </c>
      <c r="G26" s="33">
        <v>124003.62479737414</v>
      </c>
      <c r="H26" s="33">
        <v>206630.36495160495</v>
      </c>
    </row>
    <row r="27" spans="2:23" x14ac:dyDescent="0.2">
      <c r="B27" s="109" t="s">
        <v>86</v>
      </c>
      <c r="C27" s="33">
        <v>2688.119210893004</v>
      </c>
      <c r="D27" s="33">
        <v>14952.286727806772</v>
      </c>
      <c r="E27" s="33">
        <v>10056.157859096475</v>
      </c>
      <c r="F27" s="33">
        <v>6401.7067084921291</v>
      </c>
      <c r="G27" s="33">
        <v>5763.2166272587046</v>
      </c>
      <c r="H27" s="33">
        <v>8504.7980441688505</v>
      </c>
    </row>
    <row r="28" spans="2:23" x14ac:dyDescent="0.2">
      <c r="B28" s="109" t="s">
        <v>87</v>
      </c>
      <c r="C28" s="33">
        <v>56557.850764560833</v>
      </c>
      <c r="D28" s="33">
        <v>418588.11359385937</v>
      </c>
      <c r="E28" s="33">
        <v>279694.65896565304</v>
      </c>
      <c r="F28" s="33">
        <v>179936.2014972769</v>
      </c>
      <c r="G28" s="33">
        <v>174341.98693092339</v>
      </c>
      <c r="H28" s="33">
        <v>231159.19027339321</v>
      </c>
    </row>
    <row r="29" spans="2:23" x14ac:dyDescent="0.2">
      <c r="B29" s="109" t="s">
        <v>88</v>
      </c>
      <c r="C29" s="33">
        <v>5508.6676057766308</v>
      </c>
      <c r="D29" s="33">
        <v>30094.841015257945</v>
      </c>
      <c r="E29" s="33">
        <v>8584.5688401885127</v>
      </c>
      <c r="F29" s="33">
        <v>10400.167628349553</v>
      </c>
      <c r="G29" s="33">
        <v>10484.139213171544</v>
      </c>
      <c r="H29" s="33">
        <v>15901.37015621009</v>
      </c>
      <c r="M29" s="260"/>
      <c r="N29" s="260"/>
      <c r="O29" s="260"/>
      <c r="P29" s="260"/>
      <c r="Q29" s="260"/>
      <c r="R29" s="260"/>
      <c r="S29" s="260"/>
      <c r="T29" s="260"/>
      <c r="U29" s="260"/>
      <c r="V29" s="260"/>
      <c r="W29" s="260"/>
    </row>
    <row r="30" spans="2:23" x14ac:dyDescent="0.2">
      <c r="B30" s="109" t="s">
        <v>89</v>
      </c>
      <c r="C30" s="33">
        <v>3910.2712393407219</v>
      </c>
      <c r="D30" s="33">
        <v>13609.340463800125</v>
      </c>
      <c r="E30" s="33">
        <v>7343.5009232599123</v>
      </c>
      <c r="F30" s="33">
        <v>6455.5386406066827</v>
      </c>
      <c r="G30" s="33">
        <v>11937.125394260311</v>
      </c>
      <c r="H30" s="33">
        <v>8402.8804358155812</v>
      </c>
    </row>
    <row r="31" spans="2:23" ht="14.25" x14ac:dyDescent="0.2">
      <c r="B31" s="10" t="s">
        <v>444</v>
      </c>
      <c r="C31" s="31">
        <v>152967.06526403484</v>
      </c>
      <c r="D31" s="31">
        <v>794884.96313895774</v>
      </c>
      <c r="E31" s="31">
        <v>737276.18238195684</v>
      </c>
      <c r="F31" s="31">
        <v>329693.86870771321</v>
      </c>
      <c r="G31" s="31">
        <v>326605.95040707418</v>
      </c>
      <c r="H31" s="31">
        <v>470618.54986393987</v>
      </c>
      <c r="I31" s="42"/>
      <c r="J31" s="42"/>
      <c r="L31" s="48"/>
      <c r="M31" s="48"/>
      <c r="N31" s="48"/>
      <c r="O31" s="48"/>
      <c r="P31" s="48"/>
      <c r="Q31" s="48"/>
      <c r="R31" s="48"/>
      <c r="S31" s="48"/>
      <c r="T31" s="48"/>
      <c r="U31" s="48"/>
      <c r="V31" s="48"/>
      <c r="W31" s="48"/>
    </row>
    <row r="32" spans="2:23" x14ac:dyDescent="0.2">
      <c r="B32" s="256" t="s">
        <v>90</v>
      </c>
      <c r="C32" s="257"/>
      <c r="D32" s="257"/>
      <c r="E32" s="257"/>
      <c r="F32" s="257"/>
      <c r="G32" s="257"/>
      <c r="H32" s="257"/>
      <c r="I32" s="42"/>
      <c r="J32" s="42"/>
      <c r="L32" s="48"/>
      <c r="M32" s="48"/>
      <c r="N32" s="48"/>
      <c r="O32" s="48"/>
      <c r="P32" s="48"/>
      <c r="Q32" s="48"/>
      <c r="R32" s="48"/>
      <c r="S32" s="48"/>
      <c r="T32" s="48"/>
      <c r="U32" s="48"/>
      <c r="V32" s="48"/>
      <c r="W32" s="48"/>
    </row>
    <row r="33" spans="2:23" x14ac:dyDescent="0.2">
      <c r="B33" s="10" t="s">
        <v>90</v>
      </c>
      <c r="C33" s="31">
        <v>53720.142527304801</v>
      </c>
      <c r="D33" s="31">
        <v>363588.36253052502</v>
      </c>
      <c r="E33" s="31">
        <v>126637.755850136</v>
      </c>
      <c r="F33" s="31">
        <v>170871.16731783201</v>
      </c>
      <c r="G33" s="31">
        <v>164942.672642188</v>
      </c>
      <c r="H33" s="31">
        <v>195874.45115684901</v>
      </c>
      <c r="I33" s="42"/>
      <c r="J33" s="42"/>
      <c r="L33" s="48"/>
      <c r="M33" s="48"/>
      <c r="N33" s="48"/>
      <c r="O33" s="48"/>
      <c r="P33" s="48"/>
      <c r="Q33" s="48"/>
      <c r="R33" s="48"/>
      <c r="S33" s="48"/>
      <c r="T33" s="48"/>
      <c r="U33" s="48"/>
      <c r="V33" s="48"/>
      <c r="W33" s="48"/>
    </row>
    <row r="34" spans="2:23" x14ac:dyDescent="0.2">
      <c r="B34" s="256" t="s">
        <v>32</v>
      </c>
      <c r="C34" s="257"/>
      <c r="D34" s="257"/>
      <c r="E34" s="257"/>
      <c r="F34" s="257"/>
      <c r="G34" s="257"/>
      <c r="H34" s="257"/>
      <c r="I34" s="42"/>
      <c r="J34" s="42"/>
      <c r="L34" s="48"/>
      <c r="M34" s="48"/>
      <c r="N34" s="48"/>
      <c r="O34" s="48"/>
      <c r="P34" s="48"/>
      <c r="Q34" s="48"/>
      <c r="R34" s="48"/>
      <c r="S34" s="48"/>
      <c r="T34" s="48"/>
      <c r="U34" s="48"/>
      <c r="V34" s="48"/>
      <c r="W34" s="48"/>
    </row>
    <row r="35" spans="2:23" ht="14.25" x14ac:dyDescent="0.2">
      <c r="B35" s="10" t="s">
        <v>448</v>
      </c>
      <c r="C35" s="31">
        <v>103968.861030389</v>
      </c>
      <c r="D35" s="31">
        <v>450211.45259022102</v>
      </c>
      <c r="E35" s="31">
        <v>612557.10488831403</v>
      </c>
      <c r="F35" s="31">
        <v>171312.61230964999</v>
      </c>
      <c r="G35" s="31">
        <v>175681.579764592</v>
      </c>
      <c r="H35" s="31">
        <v>285923.25779305701</v>
      </c>
      <c r="I35" s="42"/>
      <c r="J35" s="42"/>
      <c r="L35" s="48"/>
      <c r="M35" s="48"/>
      <c r="N35" s="48"/>
      <c r="O35" s="48"/>
      <c r="P35" s="48"/>
      <c r="Q35" s="48"/>
      <c r="R35" s="48"/>
      <c r="S35" s="48"/>
      <c r="T35" s="48"/>
      <c r="U35" s="48"/>
      <c r="V35" s="48"/>
      <c r="W35" s="48"/>
    </row>
    <row r="36" spans="2:23" x14ac:dyDescent="0.2">
      <c r="I36" s="42"/>
      <c r="J36" s="42"/>
      <c r="L36" s="48"/>
      <c r="M36" s="48"/>
      <c r="N36" s="48"/>
      <c r="O36" s="48"/>
      <c r="P36" s="48"/>
      <c r="Q36" s="48"/>
      <c r="R36" s="48"/>
      <c r="S36" s="48"/>
      <c r="T36" s="48"/>
      <c r="U36" s="48"/>
      <c r="V36" s="48"/>
      <c r="W36" s="48"/>
    </row>
    <row r="37" spans="2:23" s="130" customFormat="1" x14ac:dyDescent="0.2">
      <c r="B37" s="261" t="s">
        <v>33</v>
      </c>
      <c r="C37" s="260"/>
      <c r="D37" s="260"/>
      <c r="E37" s="260"/>
      <c r="F37" s="260"/>
      <c r="G37" s="260"/>
      <c r="H37" s="260"/>
      <c r="L37" s="48"/>
      <c r="M37" s="48"/>
      <c r="N37" s="48"/>
      <c r="O37" s="48"/>
      <c r="P37" s="48"/>
      <c r="Q37" s="48"/>
      <c r="R37" s="48"/>
      <c r="S37" s="48"/>
      <c r="T37" s="48"/>
      <c r="U37" s="48"/>
      <c r="V37" s="48"/>
      <c r="W37" s="48"/>
    </row>
    <row r="38" spans="2:23" ht="39.75" customHeight="1" x14ac:dyDescent="0.2">
      <c r="B38" s="258" t="s">
        <v>443</v>
      </c>
      <c r="C38" s="259"/>
      <c r="D38" s="259"/>
      <c r="E38" s="259"/>
      <c r="F38" s="259"/>
      <c r="G38" s="259"/>
      <c r="H38" s="259"/>
      <c r="I38" s="42"/>
      <c r="J38" s="42"/>
    </row>
    <row r="39" spans="2:23" x14ac:dyDescent="0.2">
      <c r="I39" s="42"/>
      <c r="J39" s="42"/>
    </row>
  </sheetData>
  <mergeCells count="10">
    <mergeCell ref="T29:W29"/>
    <mergeCell ref="B5:H5"/>
    <mergeCell ref="B16:H16"/>
    <mergeCell ref="B23:H23"/>
    <mergeCell ref="B25:H25"/>
    <mergeCell ref="B32:H32"/>
    <mergeCell ref="B34:H34"/>
    <mergeCell ref="B38:H38"/>
    <mergeCell ref="M29:S29"/>
    <mergeCell ref="B37:H37"/>
  </mergeCells>
  <pageMargins left="0.78740157480314965" right="0.78740157480314965" top="0.98425196850393704" bottom="0.98425196850393704" header="0.51181102362204722" footer="0.51181102362204722"/>
  <pageSetup paperSize="9" scale="86" orientation="landscape" r:id="rId1"/>
  <headerFooter alignWithMargins="0"/>
  <rowBreaks count="1" manualBreakCount="1">
    <brk id="48" max="1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F6E51"/>
  </sheetPr>
  <dimension ref="B1:Z107"/>
  <sheetViews>
    <sheetView view="pageBreakPreview" zoomScaleNormal="100" zoomScaleSheetLayoutView="100" workbookViewId="0"/>
  </sheetViews>
  <sheetFormatPr baseColWidth="10" defaultRowHeight="12.75" x14ac:dyDescent="0.2"/>
  <cols>
    <col min="1" max="1" width="2" style="81" customWidth="1"/>
    <col min="2" max="2" width="41.28515625" style="81" customWidth="1"/>
    <col min="3" max="8" width="12.7109375" style="81" customWidth="1"/>
    <col min="9" max="9" width="13.28515625" style="81" bestFit="1" customWidth="1"/>
    <col min="10" max="14" width="11.42578125" style="81"/>
    <col min="15" max="15" width="40.7109375" style="81" bestFit="1" customWidth="1"/>
    <col min="16" max="16" width="18.28515625" style="81" customWidth="1"/>
    <col min="17" max="16384" width="11.42578125" style="81"/>
  </cols>
  <sheetData>
    <row r="1" spans="2:26" s="11" customFormat="1" ht="15.75" x14ac:dyDescent="0.2">
      <c r="B1" s="213" t="str">
        <f>Inhaltsverzeichnis!B30&amp;" "&amp;Inhaltsverzeichnis!C30&amp;" "&amp;Inhaltsverzeichnis!E30</f>
        <v>Tabelle 7: Zusammensetzung des Reineinkommens und des Reinvermögens nach Altersklassen, 2013, in Franken pro Pflichtigen</v>
      </c>
      <c r="C1" s="214"/>
      <c r="D1" s="214"/>
      <c r="E1" s="214"/>
      <c r="F1" s="214"/>
      <c r="G1" s="214"/>
      <c r="H1" s="214"/>
      <c r="I1" s="214"/>
      <c r="J1" s="214"/>
      <c r="K1" s="214"/>
      <c r="L1" s="214"/>
      <c r="M1" s="214"/>
      <c r="N1" s="214"/>
      <c r="O1" s="214"/>
      <c r="P1" s="214"/>
      <c r="Q1" s="214"/>
      <c r="R1" s="78"/>
      <c r="S1" s="78"/>
      <c r="T1" s="78"/>
      <c r="U1" s="78"/>
      <c r="V1" s="78"/>
      <c r="W1" s="78"/>
      <c r="X1" s="78"/>
      <c r="Y1" s="78"/>
      <c r="Z1" s="78"/>
    </row>
    <row r="3" spans="2:26" s="45" customFormat="1" ht="29.25" customHeight="1" x14ac:dyDescent="0.2">
      <c r="B3" s="83" t="s">
        <v>608</v>
      </c>
      <c r="C3" s="111" t="s">
        <v>95</v>
      </c>
      <c r="D3" s="47" t="s">
        <v>96</v>
      </c>
      <c r="E3" s="47" t="s">
        <v>97</v>
      </c>
      <c r="F3" s="47" t="s">
        <v>98</v>
      </c>
      <c r="G3" s="97" t="s">
        <v>99</v>
      </c>
      <c r="H3" s="47" t="s">
        <v>0</v>
      </c>
    </row>
    <row r="4" spans="2:26" s="45" customFormat="1" ht="14.25" x14ac:dyDescent="0.2">
      <c r="B4" s="84" t="s">
        <v>442</v>
      </c>
      <c r="C4" s="110">
        <v>13080.147468442301</v>
      </c>
      <c r="D4" s="110">
        <v>93323.816434245949</v>
      </c>
      <c r="E4" s="110">
        <v>90330.270275781542</v>
      </c>
      <c r="F4" s="110">
        <v>86670.352719395596</v>
      </c>
      <c r="G4" s="110">
        <v>75188.490839776045</v>
      </c>
      <c r="H4" s="110">
        <v>358593.07773764897</v>
      </c>
      <c r="I4" s="182"/>
    </row>
    <row r="5" spans="2:26" x14ac:dyDescent="0.2">
      <c r="B5" s="262" t="s">
        <v>92</v>
      </c>
      <c r="C5" s="263"/>
      <c r="D5" s="263"/>
      <c r="E5" s="263"/>
      <c r="F5" s="263"/>
      <c r="G5" s="263"/>
      <c r="H5" s="264"/>
      <c r="I5" s="106"/>
      <c r="J5" s="106"/>
      <c r="K5" s="106"/>
      <c r="L5" s="106"/>
    </row>
    <row r="6" spans="2:26" x14ac:dyDescent="0.2">
      <c r="B6" s="108" t="s">
        <v>70</v>
      </c>
      <c r="C6" s="33">
        <v>10718.109957907802</v>
      </c>
      <c r="D6" s="33">
        <v>46303.338035026492</v>
      </c>
      <c r="E6" s="33">
        <v>77720.79952363472</v>
      </c>
      <c r="F6" s="33">
        <v>68235.762626445299</v>
      </c>
      <c r="G6" s="33">
        <v>4453.8937245962043</v>
      </c>
      <c r="H6" s="33">
        <v>49445.568718764793</v>
      </c>
    </row>
    <row r="7" spans="2:26" x14ac:dyDescent="0.2">
      <c r="B7" s="108" t="s">
        <v>71</v>
      </c>
      <c r="C7" s="33">
        <v>3.2909537578110415</v>
      </c>
      <c r="D7" s="33">
        <v>4158.5371065377049</v>
      </c>
      <c r="E7" s="33">
        <v>13464.835749429407</v>
      </c>
      <c r="F7" s="33">
        <v>14298.346931850774</v>
      </c>
      <c r="G7" s="33">
        <v>2850.489625809957</v>
      </c>
      <c r="H7" s="33">
        <v>8527.7235592221259</v>
      </c>
    </row>
    <row r="8" spans="2:26" x14ac:dyDescent="0.2">
      <c r="B8" s="108" t="s">
        <v>72</v>
      </c>
      <c r="C8" s="33">
        <v>6.7970490865710058</v>
      </c>
      <c r="D8" s="33">
        <v>848.25318076055964</v>
      </c>
      <c r="E8" s="33">
        <v>4557.770649189395</v>
      </c>
      <c r="F8" s="33">
        <v>7494.8983028840257</v>
      </c>
      <c r="G8" s="33">
        <v>1786.2495982636844</v>
      </c>
      <c r="H8" s="33">
        <v>3555.1346507798817</v>
      </c>
    </row>
    <row r="9" spans="2:26" x14ac:dyDescent="0.2">
      <c r="B9" s="108" t="s">
        <v>73</v>
      </c>
      <c r="C9" s="33">
        <v>0</v>
      </c>
      <c r="D9" s="33">
        <v>64.317050927219341</v>
      </c>
      <c r="E9" s="33">
        <v>633.2955139890953</v>
      </c>
      <c r="F9" s="33">
        <v>913.68510843537206</v>
      </c>
      <c r="G9" s="33">
        <v>293.77057487601871</v>
      </c>
      <c r="H9" s="33">
        <v>458.69721031899508</v>
      </c>
    </row>
    <row r="10" spans="2:26" x14ac:dyDescent="0.2">
      <c r="B10" s="109" t="s">
        <v>94</v>
      </c>
      <c r="C10" s="33">
        <v>592.16211118567333</v>
      </c>
      <c r="D10" s="33">
        <v>1637.7281534560148</v>
      </c>
      <c r="E10" s="33">
        <v>2850.5440507736726</v>
      </c>
      <c r="F10" s="33">
        <v>8134.5660473088337</v>
      </c>
      <c r="G10" s="33">
        <v>39905.410448508454</v>
      </c>
      <c r="H10" s="33">
        <v>11499.185501183358</v>
      </c>
    </row>
    <row r="11" spans="2:26" x14ac:dyDescent="0.2">
      <c r="B11" s="109" t="s">
        <v>440</v>
      </c>
      <c r="C11" s="33">
        <v>0</v>
      </c>
      <c r="D11" s="33">
        <v>209.53976957000921</v>
      </c>
      <c r="E11" s="33">
        <v>542.94369588441248</v>
      </c>
      <c r="F11" s="33">
        <v>1352.3295918741467</v>
      </c>
      <c r="G11" s="33">
        <v>8658.1879109057281</v>
      </c>
      <c r="H11" s="33">
        <v>2333.5706093740209</v>
      </c>
    </row>
    <row r="12" spans="2:26" x14ac:dyDescent="0.2">
      <c r="B12" s="109" t="s">
        <v>75</v>
      </c>
      <c r="C12" s="33">
        <v>77.40206304788552</v>
      </c>
      <c r="D12" s="33">
        <v>372.17197445388638</v>
      </c>
      <c r="E12" s="33">
        <v>2563.8340365900904</v>
      </c>
      <c r="F12" s="33">
        <v>4950.4401551035617</v>
      </c>
      <c r="G12" s="33">
        <v>8092.053285096551</v>
      </c>
      <c r="H12" s="33">
        <v>3638.7273223027555</v>
      </c>
    </row>
    <row r="13" spans="2:26" x14ac:dyDescent="0.2">
      <c r="B13" s="109" t="s">
        <v>76</v>
      </c>
      <c r="C13" s="33">
        <v>26.591382214888377</v>
      </c>
      <c r="D13" s="33">
        <v>419.20507024050016</v>
      </c>
      <c r="E13" s="33">
        <v>4454.5133312015751</v>
      </c>
      <c r="F13" s="33">
        <v>7538.3445840646409</v>
      </c>
      <c r="G13" s="33">
        <v>9497.3413531684055</v>
      </c>
      <c r="H13" s="33">
        <v>5045.5206445959011</v>
      </c>
    </row>
    <row r="14" spans="2:26" x14ac:dyDescent="0.2">
      <c r="B14" s="109" t="s">
        <v>77</v>
      </c>
      <c r="C14" s="33">
        <v>13.505616364888214</v>
      </c>
      <c r="D14" s="33">
        <v>282.14084244247834</v>
      </c>
      <c r="E14" s="33">
        <v>1928.3198473397349</v>
      </c>
      <c r="F14" s="33">
        <v>1024.3373617561592</v>
      </c>
      <c r="G14" s="33">
        <v>325.86580801282201</v>
      </c>
      <c r="H14" s="33">
        <v>875.57130042626761</v>
      </c>
    </row>
    <row r="15" spans="2:26" ht="14.25" x14ac:dyDescent="0.2">
      <c r="B15" s="10" t="s">
        <v>446</v>
      </c>
      <c r="C15" s="31">
        <v>11439.286083790686</v>
      </c>
      <c r="D15" s="31">
        <v>54326.141600655603</v>
      </c>
      <c r="E15" s="31">
        <v>108811.62055323235</v>
      </c>
      <c r="F15" s="31">
        <v>114078.19566645032</v>
      </c>
      <c r="G15" s="31">
        <v>75960.429906461286</v>
      </c>
      <c r="H15" s="31">
        <v>85464.787124472146</v>
      </c>
    </row>
    <row r="16" spans="2:26" x14ac:dyDescent="0.2">
      <c r="B16" s="262" t="s">
        <v>79</v>
      </c>
      <c r="C16" s="265"/>
      <c r="D16" s="265"/>
      <c r="E16" s="265"/>
      <c r="F16" s="265"/>
      <c r="G16" s="265"/>
      <c r="H16" s="266"/>
    </row>
    <row r="17" spans="2:23" x14ac:dyDescent="0.2">
      <c r="B17" s="109" t="s">
        <v>80</v>
      </c>
      <c r="C17" s="33">
        <v>3521.8318822992464</v>
      </c>
      <c r="D17" s="33">
        <v>7147.2239290185507</v>
      </c>
      <c r="E17" s="33">
        <v>9147.6118941912227</v>
      </c>
      <c r="F17" s="33">
        <v>7499.0655953576415</v>
      </c>
      <c r="G17" s="33">
        <v>759.10719309736271</v>
      </c>
      <c r="H17" s="33">
        <v>6264.4860512889527</v>
      </c>
    </row>
    <row r="18" spans="2:23" x14ac:dyDescent="0.2">
      <c r="B18" s="109" t="s">
        <v>81</v>
      </c>
      <c r="C18" s="33">
        <v>8.8449132272332172</v>
      </c>
      <c r="D18" s="33">
        <v>714.61718632445331</v>
      </c>
      <c r="E18" s="33">
        <v>5461.8788643185517</v>
      </c>
      <c r="F18" s="33">
        <v>6695.5577121688011</v>
      </c>
      <c r="G18" s="33">
        <v>3687.3102089939598</v>
      </c>
      <c r="H18" s="33">
        <v>3953.5875519330766</v>
      </c>
    </row>
    <row r="19" spans="2:23" x14ac:dyDescent="0.2">
      <c r="B19" s="109" t="s">
        <v>82</v>
      </c>
      <c r="C19" s="33">
        <v>17.690520361679294</v>
      </c>
      <c r="D19" s="33">
        <v>1507.2684968104834</v>
      </c>
      <c r="E19" s="33">
        <v>4942.4087261358291</v>
      </c>
      <c r="F19" s="33">
        <v>7162.8640575596928</v>
      </c>
      <c r="G19" s="33">
        <v>580.51608528209022</v>
      </c>
      <c r="H19" s="33">
        <v>3490.8667221949786</v>
      </c>
    </row>
    <row r="20" spans="2:23" x14ac:dyDescent="0.2">
      <c r="B20" s="109" t="s">
        <v>83</v>
      </c>
      <c r="C20" s="33">
        <v>2000.7858254969647</v>
      </c>
      <c r="D20" s="33">
        <v>2279.4796614433512</v>
      </c>
      <c r="E20" s="33">
        <v>2940.2817540223073</v>
      </c>
      <c r="F20" s="33">
        <v>3052.3289834122679</v>
      </c>
      <c r="G20" s="33">
        <v>2955.6126187312466</v>
      </c>
      <c r="H20" s="33">
        <v>2764.3345734375175</v>
      </c>
    </row>
    <row r="21" spans="2:23" x14ac:dyDescent="0.2">
      <c r="B21" s="109" t="s">
        <v>84</v>
      </c>
      <c r="C21" s="33">
        <v>72.862366261370354</v>
      </c>
      <c r="D21" s="33">
        <v>427.098732419535</v>
      </c>
      <c r="E21" s="33">
        <v>2337.317124753115</v>
      </c>
      <c r="F21" s="33">
        <v>2571.482252843994</v>
      </c>
      <c r="G21" s="33">
        <v>3986.7439577090818</v>
      </c>
      <c r="H21" s="33">
        <v>2160.0265183461629</v>
      </c>
    </row>
    <row r="22" spans="2:23" x14ac:dyDescent="0.2">
      <c r="B22" s="10" t="s">
        <v>91</v>
      </c>
      <c r="C22" s="31">
        <v>5622.0155076465198</v>
      </c>
      <c r="D22" s="31">
        <v>12075.688006016393</v>
      </c>
      <c r="E22" s="31">
        <v>24829.498363420986</v>
      </c>
      <c r="F22" s="31">
        <v>26981.298601342136</v>
      </c>
      <c r="G22" s="31">
        <v>11969.290063813629</v>
      </c>
      <c r="H22" s="31">
        <v>18633.301417200775</v>
      </c>
    </row>
    <row r="23" spans="2:23" x14ac:dyDescent="0.2">
      <c r="B23" s="256" t="s">
        <v>30</v>
      </c>
      <c r="C23" s="257"/>
      <c r="D23" s="257"/>
      <c r="E23" s="257"/>
      <c r="F23" s="257"/>
      <c r="G23" s="257"/>
      <c r="H23" s="257"/>
    </row>
    <row r="24" spans="2:23" ht="14.25" x14ac:dyDescent="0.2">
      <c r="B24" s="10" t="s">
        <v>445</v>
      </c>
      <c r="C24" s="31">
        <v>6295.8437762009798</v>
      </c>
      <c r="D24" s="31">
        <v>42398.033826594597</v>
      </c>
      <c r="E24" s="31">
        <v>84123.317433730394</v>
      </c>
      <c r="F24" s="31">
        <v>87295.724113202406</v>
      </c>
      <c r="G24" s="31">
        <v>64477.520285213097</v>
      </c>
      <c r="H24" s="31">
        <v>67072.955468588101</v>
      </c>
    </row>
    <row r="25" spans="2:23" x14ac:dyDescent="0.2">
      <c r="B25" s="256" t="s">
        <v>93</v>
      </c>
      <c r="C25" s="257"/>
      <c r="D25" s="257"/>
      <c r="E25" s="257"/>
      <c r="F25" s="257"/>
      <c r="G25" s="257"/>
      <c r="H25" s="257"/>
    </row>
    <row r="26" spans="2:23" x14ac:dyDescent="0.2">
      <c r="B26" s="109" t="s">
        <v>85</v>
      </c>
      <c r="C26" s="33">
        <v>9717.0005394115196</v>
      </c>
      <c r="D26" s="33">
        <v>35569.508865629643</v>
      </c>
      <c r="E26" s="33">
        <v>137094.31366576682</v>
      </c>
      <c r="F26" s="33">
        <v>248774.77580286769</v>
      </c>
      <c r="G26" s="33">
        <v>488166.1012589382</v>
      </c>
      <c r="H26" s="33">
        <v>206630.36495160495</v>
      </c>
    </row>
    <row r="27" spans="2:23" x14ac:dyDescent="0.2">
      <c r="B27" s="109" t="s">
        <v>86</v>
      </c>
      <c r="C27" s="33">
        <v>144.43309426590523</v>
      </c>
      <c r="D27" s="33">
        <v>555.14144127153008</v>
      </c>
      <c r="E27" s="33">
        <v>4942.824059967782</v>
      </c>
      <c r="F27" s="33">
        <v>16080.939599049554</v>
      </c>
      <c r="G27" s="33">
        <v>15372.528811033439</v>
      </c>
      <c r="H27" s="33">
        <v>8504.7980441688505</v>
      </c>
    </row>
    <row r="28" spans="2:23" x14ac:dyDescent="0.2">
      <c r="B28" s="109" t="s">
        <v>87</v>
      </c>
      <c r="C28" s="33">
        <v>789.89747551418668</v>
      </c>
      <c r="D28" s="33">
        <v>27543.658293320517</v>
      </c>
      <c r="E28" s="33">
        <v>234141.80525530223</v>
      </c>
      <c r="F28" s="33">
        <v>360110.55595913547</v>
      </c>
      <c r="G28" s="33">
        <v>371736.0520850562</v>
      </c>
      <c r="H28" s="33">
        <v>231159.19027339321</v>
      </c>
    </row>
    <row r="29" spans="2:23" x14ac:dyDescent="0.2">
      <c r="B29" s="109" t="s">
        <v>88</v>
      </c>
      <c r="C29" s="33">
        <v>1.2877227429700642</v>
      </c>
      <c r="D29" s="33">
        <v>2862.5437254909466</v>
      </c>
      <c r="E29" s="33">
        <v>17644.041584276863</v>
      </c>
      <c r="F29" s="33">
        <v>30183.466358470363</v>
      </c>
      <c r="G29" s="33">
        <v>16294.491104362553</v>
      </c>
      <c r="H29" s="33">
        <v>15901.37015621009</v>
      </c>
      <c r="M29" s="260"/>
      <c r="N29" s="260"/>
      <c r="O29" s="260"/>
      <c r="P29" s="260"/>
      <c r="Q29" s="260"/>
      <c r="R29" s="260"/>
      <c r="S29" s="260"/>
      <c r="T29" s="260"/>
      <c r="U29" s="260"/>
      <c r="V29" s="260"/>
      <c r="W29" s="260"/>
    </row>
    <row r="30" spans="2:23" x14ac:dyDescent="0.2">
      <c r="B30" s="109" t="s">
        <v>89</v>
      </c>
      <c r="C30" s="33">
        <v>389.77171281563596</v>
      </c>
      <c r="D30" s="33">
        <v>2509.4053634978313</v>
      </c>
      <c r="E30" s="33">
        <v>8318.9518980638768</v>
      </c>
      <c r="F30" s="33">
        <v>13200.660134332273</v>
      </c>
      <c r="G30" s="33">
        <v>11682.242151839926</v>
      </c>
      <c r="H30" s="33">
        <v>8402.8804358155812</v>
      </c>
    </row>
    <row r="31" spans="2:23" ht="14.25" x14ac:dyDescent="0.2">
      <c r="B31" s="10" t="s">
        <v>444</v>
      </c>
      <c r="C31" s="31">
        <v>11042.390544750209</v>
      </c>
      <c r="D31" s="31">
        <v>69054.465671803075</v>
      </c>
      <c r="E31" s="31">
        <v>402161.65245039255</v>
      </c>
      <c r="F31" s="31">
        <v>668354.96103221679</v>
      </c>
      <c r="G31" s="31">
        <v>903299.96157307667</v>
      </c>
      <c r="H31" s="31">
        <v>470618.54986393987</v>
      </c>
      <c r="L31" s="48"/>
      <c r="M31" s="48"/>
      <c r="N31" s="48"/>
      <c r="O31" s="48"/>
      <c r="P31" s="48"/>
      <c r="Q31" s="48"/>
      <c r="R31" s="48"/>
      <c r="S31" s="48"/>
      <c r="T31" s="48"/>
      <c r="U31" s="48"/>
      <c r="V31" s="48"/>
      <c r="W31" s="48"/>
    </row>
    <row r="32" spans="2:23" x14ac:dyDescent="0.2">
      <c r="B32" s="256" t="s">
        <v>90</v>
      </c>
      <c r="C32" s="257"/>
      <c r="D32" s="257"/>
      <c r="E32" s="257"/>
      <c r="F32" s="257"/>
      <c r="G32" s="257"/>
      <c r="H32" s="257"/>
      <c r="L32" s="48"/>
      <c r="M32" s="48"/>
      <c r="N32" s="48"/>
      <c r="O32" s="48"/>
      <c r="P32" s="48"/>
      <c r="Q32" s="48"/>
      <c r="R32" s="48"/>
      <c r="S32" s="48"/>
      <c r="T32" s="48"/>
      <c r="U32" s="48"/>
      <c r="V32" s="48"/>
      <c r="W32" s="48"/>
    </row>
    <row r="33" spans="2:23" x14ac:dyDescent="0.2">
      <c r="B33" s="10" t="s">
        <v>90</v>
      </c>
      <c r="C33" s="31">
        <v>600.29972719557395</v>
      </c>
      <c r="D33" s="31">
        <v>35253.663418907003</v>
      </c>
      <c r="E33" s="31">
        <v>267138.57281942101</v>
      </c>
      <c r="F33" s="31">
        <v>331287.824134033</v>
      </c>
      <c r="G33" s="31">
        <v>187499.86410638699</v>
      </c>
      <c r="H33" s="31">
        <v>195874.45115684901</v>
      </c>
      <c r="L33" s="48"/>
      <c r="M33" s="48"/>
      <c r="N33" s="48"/>
      <c r="O33" s="48"/>
      <c r="P33" s="48"/>
      <c r="Q33" s="48"/>
      <c r="R33" s="48"/>
      <c r="S33" s="48"/>
      <c r="T33" s="48"/>
      <c r="U33" s="48"/>
      <c r="V33" s="48"/>
      <c r="W33" s="48"/>
    </row>
    <row r="34" spans="2:23" x14ac:dyDescent="0.2">
      <c r="B34" s="256" t="s">
        <v>32</v>
      </c>
      <c r="C34" s="257"/>
      <c r="D34" s="257"/>
      <c r="E34" s="257"/>
      <c r="F34" s="257"/>
      <c r="G34" s="257"/>
      <c r="H34" s="257"/>
      <c r="L34" s="48"/>
      <c r="M34" s="48"/>
      <c r="N34" s="48"/>
      <c r="O34" s="48"/>
      <c r="P34" s="48"/>
      <c r="Q34" s="48"/>
      <c r="R34" s="48"/>
      <c r="S34" s="48"/>
      <c r="T34" s="48"/>
      <c r="U34" s="48"/>
      <c r="V34" s="48"/>
      <c r="W34" s="48"/>
    </row>
    <row r="35" spans="2:23" ht="14.25" x14ac:dyDescent="0.2">
      <c r="B35" s="10" t="s">
        <v>448</v>
      </c>
      <c r="C35" s="31">
        <v>10496.6039915701</v>
      </c>
      <c r="D35" s="31">
        <v>39394.336409082898</v>
      </c>
      <c r="E35" s="31">
        <v>158023.656045093</v>
      </c>
      <c r="F35" s="31">
        <v>351721.926635993</v>
      </c>
      <c r="G35" s="31">
        <v>717638.96917235001</v>
      </c>
      <c r="H35" s="31">
        <v>285923.25779305701</v>
      </c>
      <c r="L35" s="48"/>
      <c r="M35" s="48"/>
      <c r="N35" s="48"/>
      <c r="O35" s="48"/>
      <c r="P35" s="48"/>
      <c r="Q35" s="48"/>
      <c r="R35" s="48"/>
      <c r="S35" s="48"/>
      <c r="T35" s="48"/>
      <c r="U35" s="48"/>
      <c r="V35" s="48"/>
      <c r="W35" s="48"/>
    </row>
    <row r="36" spans="2:23" x14ac:dyDescent="0.2">
      <c r="L36" s="48"/>
      <c r="M36" s="48"/>
      <c r="N36" s="48"/>
      <c r="O36" s="48"/>
      <c r="P36" s="48"/>
      <c r="Q36" s="48"/>
      <c r="R36" s="48"/>
      <c r="S36" s="48"/>
      <c r="T36" s="48"/>
      <c r="U36" s="48"/>
      <c r="V36" s="48"/>
      <c r="W36" s="48"/>
    </row>
    <row r="37" spans="2:23" s="130" customFormat="1" x14ac:dyDescent="0.2">
      <c r="B37" s="261" t="s">
        <v>33</v>
      </c>
      <c r="C37" s="260"/>
      <c r="D37" s="260"/>
      <c r="E37" s="260"/>
      <c r="F37" s="260"/>
      <c r="G37" s="260"/>
      <c r="H37" s="260"/>
      <c r="L37" s="48"/>
      <c r="M37" s="48"/>
      <c r="N37" s="48"/>
      <c r="O37" s="48"/>
      <c r="P37" s="48"/>
      <c r="Q37" s="48"/>
      <c r="R37" s="48"/>
      <c r="S37" s="48"/>
      <c r="T37" s="48"/>
      <c r="U37" s="48"/>
      <c r="V37" s="48"/>
      <c r="W37" s="48"/>
    </row>
    <row r="38" spans="2:23" ht="39.75" customHeight="1" x14ac:dyDescent="0.2">
      <c r="B38" s="258" t="s">
        <v>443</v>
      </c>
      <c r="C38" s="259"/>
      <c r="D38" s="259"/>
      <c r="E38" s="259"/>
      <c r="F38" s="259"/>
      <c r="G38" s="259"/>
      <c r="H38" s="259"/>
    </row>
    <row r="45" spans="2:23" x14ac:dyDescent="0.2">
      <c r="N45" s="7" t="s">
        <v>536</v>
      </c>
    </row>
    <row r="50" spans="14:16" x14ac:dyDescent="0.2">
      <c r="N50" s="152" t="s">
        <v>469</v>
      </c>
      <c r="O50" s="152" t="s">
        <v>470</v>
      </c>
      <c r="P50" s="153" t="s">
        <v>177</v>
      </c>
    </row>
    <row r="51" spans="14:16" x14ac:dyDescent="0.2">
      <c r="N51" s="152" t="s">
        <v>471</v>
      </c>
      <c r="O51" s="193">
        <v>6295.8437762006497</v>
      </c>
      <c r="P51" s="153">
        <f>$O$58</f>
        <v>67072.955468591186</v>
      </c>
    </row>
    <row r="52" spans="14:16" x14ac:dyDescent="0.2">
      <c r="N52" s="152" t="s">
        <v>472</v>
      </c>
      <c r="O52" s="193">
        <v>33894.036254280858</v>
      </c>
      <c r="P52" s="153">
        <f t="shared" ref="P52:P57" si="0">$O$58</f>
        <v>67072.955468591186</v>
      </c>
    </row>
    <row r="53" spans="14:16" x14ac:dyDescent="0.2">
      <c r="N53" s="152" t="s">
        <v>473</v>
      </c>
      <c r="O53" s="193">
        <v>68960.373616780518</v>
      </c>
      <c r="P53" s="153">
        <f t="shared" si="0"/>
        <v>67072.955468591186</v>
      </c>
    </row>
    <row r="54" spans="14:16" x14ac:dyDescent="0.2">
      <c r="N54" s="152" t="s">
        <v>474</v>
      </c>
      <c r="O54" s="193">
        <v>87295.286893448021</v>
      </c>
      <c r="P54" s="153">
        <f t="shared" si="0"/>
        <v>67072.955468591186</v>
      </c>
    </row>
    <row r="55" spans="14:16" x14ac:dyDescent="0.2">
      <c r="N55" s="152" t="s">
        <v>475</v>
      </c>
      <c r="O55" s="193">
        <v>89652.136492054648</v>
      </c>
      <c r="P55" s="153">
        <f t="shared" si="0"/>
        <v>67072.955468591186</v>
      </c>
    </row>
    <row r="56" spans="14:16" x14ac:dyDescent="0.2">
      <c r="N56" s="152" t="s">
        <v>476</v>
      </c>
      <c r="O56" s="193">
        <v>81296.291146929827</v>
      </c>
      <c r="P56" s="153">
        <f t="shared" si="0"/>
        <v>67072.955468591186</v>
      </c>
    </row>
    <row r="57" spans="14:16" x14ac:dyDescent="0.2">
      <c r="N57" s="152" t="s">
        <v>99</v>
      </c>
      <c r="O57" s="193">
        <v>64477.520285216706</v>
      </c>
      <c r="P57" s="153">
        <f t="shared" si="0"/>
        <v>67072.955468591186</v>
      </c>
    </row>
    <row r="58" spans="14:16" x14ac:dyDescent="0.2">
      <c r="N58" s="154" t="s">
        <v>0</v>
      </c>
      <c r="O58" s="193">
        <v>67072.955468591186</v>
      </c>
      <c r="P58" s="154"/>
    </row>
    <row r="59" spans="14:16" x14ac:dyDescent="0.2">
      <c r="N59" s="154"/>
      <c r="O59" s="154"/>
      <c r="P59" s="154"/>
    </row>
    <row r="60" spans="14:16" x14ac:dyDescent="0.2">
      <c r="N60" s="154"/>
      <c r="O60" s="154"/>
      <c r="P60" s="154"/>
    </row>
    <row r="61" spans="14:16" x14ac:dyDescent="0.2">
      <c r="N61" s="154"/>
      <c r="O61" s="154"/>
      <c r="P61" s="154"/>
    </row>
    <row r="62" spans="14:16" x14ac:dyDescent="0.2">
      <c r="N62" s="154"/>
      <c r="O62" s="154"/>
      <c r="P62" s="154"/>
    </row>
    <row r="63" spans="14:16" x14ac:dyDescent="0.2">
      <c r="N63" s="154"/>
      <c r="O63" s="154"/>
      <c r="P63" s="154"/>
    </row>
    <row r="64" spans="14:16" x14ac:dyDescent="0.2">
      <c r="N64" s="154"/>
      <c r="O64" s="154"/>
      <c r="P64" s="154"/>
    </row>
    <row r="65" spans="14:16" x14ac:dyDescent="0.2">
      <c r="N65" s="154"/>
      <c r="O65" s="154"/>
      <c r="P65" s="154"/>
    </row>
    <row r="66" spans="14:16" x14ac:dyDescent="0.2">
      <c r="N66" s="154"/>
      <c r="O66" s="154"/>
      <c r="P66" s="154"/>
    </row>
    <row r="67" spans="14:16" x14ac:dyDescent="0.2">
      <c r="N67" s="154"/>
      <c r="O67" s="154"/>
      <c r="P67" s="154"/>
    </row>
    <row r="68" spans="14:16" x14ac:dyDescent="0.2">
      <c r="N68" s="154"/>
      <c r="O68" s="154"/>
      <c r="P68" s="154"/>
    </row>
    <row r="69" spans="14:16" x14ac:dyDescent="0.2">
      <c r="N69" s="154"/>
      <c r="O69" s="154"/>
      <c r="P69" s="154"/>
    </row>
    <row r="70" spans="14:16" x14ac:dyDescent="0.2">
      <c r="N70" s="154"/>
      <c r="O70" s="154"/>
      <c r="P70" s="154"/>
    </row>
    <row r="71" spans="14:16" x14ac:dyDescent="0.2">
      <c r="N71" s="154"/>
      <c r="O71" s="154"/>
      <c r="P71" s="154"/>
    </row>
    <row r="72" spans="14:16" x14ac:dyDescent="0.2">
      <c r="N72" s="154"/>
      <c r="O72" s="154"/>
      <c r="P72" s="154"/>
    </row>
    <row r="73" spans="14:16" x14ac:dyDescent="0.2">
      <c r="N73" s="154"/>
      <c r="O73" s="154"/>
      <c r="P73" s="154"/>
    </row>
    <row r="74" spans="14:16" x14ac:dyDescent="0.2">
      <c r="N74" s="154"/>
      <c r="O74" s="154"/>
      <c r="P74" s="154"/>
    </row>
    <row r="75" spans="14:16" x14ac:dyDescent="0.2">
      <c r="N75" s="154"/>
      <c r="O75" s="154"/>
      <c r="P75" s="154"/>
    </row>
    <row r="76" spans="14:16" x14ac:dyDescent="0.2">
      <c r="N76" s="154"/>
      <c r="O76" s="154"/>
      <c r="P76" s="154"/>
    </row>
    <row r="77" spans="14:16" x14ac:dyDescent="0.2">
      <c r="N77" s="154" t="s">
        <v>469</v>
      </c>
      <c r="O77" s="154" t="s">
        <v>477</v>
      </c>
      <c r="P77" s="154" t="s">
        <v>177</v>
      </c>
    </row>
    <row r="78" spans="14:16" x14ac:dyDescent="0.2">
      <c r="N78" s="154" t="s">
        <v>471</v>
      </c>
      <c r="O78" s="155">
        <v>10496.603991569409</v>
      </c>
      <c r="P78" s="155">
        <f>$O$85</f>
        <v>285923.25779306481</v>
      </c>
    </row>
    <row r="79" spans="14:16" x14ac:dyDescent="0.2">
      <c r="N79" s="154" t="s">
        <v>472</v>
      </c>
      <c r="O79" s="155">
        <v>28454.254322871322</v>
      </c>
      <c r="P79" s="155">
        <f t="shared" ref="P79:P85" si="1">$O$85</f>
        <v>285923.25779306481</v>
      </c>
    </row>
    <row r="80" spans="14:16" x14ac:dyDescent="0.2">
      <c r="N80" s="154" t="s">
        <v>473</v>
      </c>
      <c r="O80" s="155">
        <v>90623.168019815814</v>
      </c>
      <c r="P80" s="155">
        <f t="shared" si="1"/>
        <v>285923.25779306481</v>
      </c>
    </row>
    <row r="81" spans="14:16" x14ac:dyDescent="0.2">
      <c r="N81" s="154" t="s">
        <v>474</v>
      </c>
      <c r="O81" s="155">
        <v>173767.15201049828</v>
      </c>
      <c r="P81" s="155">
        <f t="shared" si="1"/>
        <v>285923.25779306481</v>
      </c>
    </row>
    <row r="82" spans="14:16" x14ac:dyDescent="0.2">
      <c r="N82" s="154" t="s">
        <v>475</v>
      </c>
      <c r="O82" s="155">
        <v>302967.04452497466</v>
      </c>
      <c r="P82" s="155">
        <f t="shared" si="1"/>
        <v>285923.25779306481</v>
      </c>
    </row>
    <row r="83" spans="14:16" x14ac:dyDescent="0.2">
      <c r="N83" s="154" t="s">
        <v>476</v>
      </c>
      <c r="O83" s="155">
        <v>475852.00235020259</v>
      </c>
      <c r="P83" s="155">
        <f t="shared" si="1"/>
        <v>285923.25779306481</v>
      </c>
    </row>
    <row r="84" spans="14:16" x14ac:dyDescent="0.2">
      <c r="N84" s="154" t="s">
        <v>99</v>
      </c>
      <c r="O84" s="155">
        <v>717638.96917237504</v>
      </c>
      <c r="P84" s="155">
        <f t="shared" si="1"/>
        <v>285923.25779306481</v>
      </c>
    </row>
    <row r="85" spans="14:16" x14ac:dyDescent="0.2">
      <c r="N85" s="154" t="s">
        <v>0</v>
      </c>
      <c r="O85" s="155">
        <v>285923.25779306481</v>
      </c>
      <c r="P85" s="155">
        <f t="shared" si="1"/>
        <v>285923.25779306481</v>
      </c>
    </row>
    <row r="99" spans="6:15" x14ac:dyDescent="0.2">
      <c r="F99" s="183"/>
      <c r="G99" s="183"/>
      <c r="H99" s="183"/>
      <c r="I99" s="183"/>
    </row>
    <row r="100" spans="6:15" x14ac:dyDescent="0.2">
      <c r="F100" s="183"/>
      <c r="G100" s="170"/>
      <c r="H100" s="170"/>
      <c r="I100" s="170"/>
      <c r="N100" s="126"/>
      <c r="O100" s="126"/>
    </row>
    <row r="101" spans="6:15" x14ac:dyDescent="0.2">
      <c r="F101" s="183"/>
      <c r="G101" s="170"/>
      <c r="H101" s="170"/>
      <c r="I101" s="170"/>
      <c r="N101" s="126"/>
      <c r="O101" s="126"/>
    </row>
    <row r="102" spans="6:15" x14ac:dyDescent="0.2">
      <c r="F102" s="183"/>
      <c r="G102" s="170"/>
      <c r="H102" s="170"/>
      <c r="I102" s="170"/>
      <c r="N102" s="126"/>
      <c r="O102" s="126"/>
    </row>
    <row r="103" spans="6:15" x14ac:dyDescent="0.2">
      <c r="F103" s="183"/>
      <c r="G103" s="170"/>
      <c r="H103" s="170"/>
      <c r="I103" s="170"/>
      <c r="N103" s="126"/>
      <c r="O103" s="126"/>
    </row>
    <row r="104" spans="6:15" x14ac:dyDescent="0.2">
      <c r="F104" s="183"/>
      <c r="G104" s="170"/>
      <c r="H104" s="170"/>
      <c r="I104" s="170"/>
      <c r="N104" s="126"/>
      <c r="O104" s="126"/>
    </row>
    <row r="105" spans="6:15" x14ac:dyDescent="0.2">
      <c r="F105" s="183"/>
      <c r="G105" s="170"/>
      <c r="H105" s="170"/>
      <c r="I105" s="170"/>
      <c r="N105" s="126"/>
      <c r="O105" s="126"/>
    </row>
    <row r="106" spans="6:15" x14ac:dyDescent="0.2">
      <c r="F106" s="183"/>
      <c r="G106" s="170"/>
      <c r="H106" s="170"/>
      <c r="I106" s="170"/>
      <c r="N106" s="126"/>
      <c r="O106" s="126"/>
    </row>
    <row r="107" spans="6:15" x14ac:dyDescent="0.2">
      <c r="H107" s="181"/>
      <c r="I107" s="181"/>
      <c r="N107" s="126"/>
      <c r="O107" s="126"/>
    </row>
  </sheetData>
  <mergeCells count="10">
    <mergeCell ref="T29:W29"/>
    <mergeCell ref="B32:H32"/>
    <mergeCell ref="B34:H34"/>
    <mergeCell ref="B38:H38"/>
    <mergeCell ref="B5:H5"/>
    <mergeCell ref="B16:H16"/>
    <mergeCell ref="B23:H23"/>
    <mergeCell ref="B25:H25"/>
    <mergeCell ref="M29:S29"/>
    <mergeCell ref="B37:H37"/>
  </mergeCells>
  <pageMargins left="0.78740157480314965" right="0.78740157480314965" top="0.98425196850393704" bottom="0.98425196850393704" header="0.51181102362204722" footer="0.51181102362204722"/>
  <pageSetup paperSize="9" scale="66" orientation="landscape" r:id="rId1"/>
  <headerFooter alignWithMargins="0"/>
  <rowBreaks count="1" manualBreakCount="1">
    <brk id="40" max="9"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F6E51"/>
    <pageSetUpPr fitToPage="1"/>
  </sheetPr>
  <dimension ref="B1:Z41"/>
  <sheetViews>
    <sheetView view="pageBreakPreview" zoomScaleNormal="100" zoomScaleSheetLayoutView="100" workbookViewId="0"/>
  </sheetViews>
  <sheetFormatPr baseColWidth="10" defaultRowHeight="12.75" x14ac:dyDescent="0.2"/>
  <cols>
    <col min="1" max="1" width="2" style="81" customWidth="1"/>
    <col min="2" max="2" width="41.28515625" style="81" customWidth="1"/>
    <col min="3" max="8" width="12.7109375" style="81" customWidth="1"/>
    <col min="9" max="16384" width="11.42578125" style="81"/>
  </cols>
  <sheetData>
    <row r="1" spans="2:26" s="11" customFormat="1" ht="15.75" x14ac:dyDescent="0.2">
      <c r="B1" s="213" t="str">
        <f>Inhaltsverzeichnis!B31&amp;" "&amp;Inhaltsverzeichnis!C31&amp;" "&amp;Inhaltsverzeichnis!E31</f>
        <v>Tabelle 8: Zusammensetzung des Reineinkommens und des Reinvermögens nach Erwerbsart, 2013, in Franken pro Pflichtigen</v>
      </c>
      <c r="C1" s="214"/>
      <c r="D1" s="214"/>
      <c r="E1" s="214"/>
      <c r="F1" s="214"/>
      <c r="G1" s="214"/>
      <c r="H1" s="214"/>
      <c r="I1" s="214"/>
      <c r="J1" s="214"/>
      <c r="K1" s="214"/>
      <c r="L1" s="214"/>
      <c r="M1" s="214"/>
      <c r="N1" s="214"/>
      <c r="O1" s="214"/>
      <c r="P1" s="214"/>
      <c r="Q1" s="214"/>
      <c r="R1" s="78"/>
      <c r="S1" s="78"/>
      <c r="T1" s="78"/>
      <c r="U1" s="78"/>
      <c r="V1" s="78"/>
      <c r="W1" s="78"/>
      <c r="X1" s="78"/>
      <c r="Y1" s="78"/>
      <c r="Z1" s="78"/>
    </row>
    <row r="3" spans="2:26" x14ac:dyDescent="0.2">
      <c r="B3" s="252" t="s">
        <v>608</v>
      </c>
      <c r="C3" s="270" t="s">
        <v>100</v>
      </c>
      <c r="D3" s="271"/>
      <c r="E3" s="272" t="s">
        <v>449</v>
      </c>
      <c r="F3" s="272" t="s">
        <v>450</v>
      </c>
      <c r="G3" s="274" t="s">
        <v>12</v>
      </c>
      <c r="H3" s="267" t="s">
        <v>0</v>
      </c>
    </row>
    <row r="4" spans="2:26" s="45" customFormat="1" ht="42" customHeight="1" x14ac:dyDescent="0.2">
      <c r="B4" s="269"/>
      <c r="C4" s="111" t="s">
        <v>101</v>
      </c>
      <c r="D4" s="85" t="s">
        <v>609</v>
      </c>
      <c r="E4" s="273"/>
      <c r="F4" s="273"/>
      <c r="G4" s="268"/>
      <c r="H4" s="268"/>
    </row>
    <row r="5" spans="2:26" s="45" customFormat="1" ht="14.25" x14ac:dyDescent="0.2">
      <c r="B5" s="84" t="s">
        <v>442</v>
      </c>
      <c r="C5" s="110">
        <v>14636.627788375221</v>
      </c>
      <c r="D5" s="110">
        <v>238522.06513902126</v>
      </c>
      <c r="E5" s="110">
        <v>84893.975930778499</v>
      </c>
      <c r="F5" s="110">
        <v>11418.048426648202</v>
      </c>
      <c r="G5" s="110">
        <v>9122.360453101066</v>
      </c>
      <c r="H5" s="110">
        <v>358593.07773764897</v>
      </c>
      <c r="I5" s="182"/>
    </row>
    <row r="6" spans="2:26" x14ac:dyDescent="0.2">
      <c r="B6" s="262" t="s">
        <v>606</v>
      </c>
      <c r="C6" s="263"/>
      <c r="D6" s="263"/>
      <c r="E6" s="263"/>
      <c r="F6" s="263"/>
      <c r="G6" s="263"/>
      <c r="H6" s="264"/>
      <c r="I6" s="106"/>
      <c r="J6" s="106"/>
      <c r="K6" s="106"/>
      <c r="L6" s="106"/>
    </row>
    <row r="7" spans="2:26" x14ac:dyDescent="0.2">
      <c r="B7" s="108" t="s">
        <v>70</v>
      </c>
      <c r="C7" s="33">
        <v>3479.5757913096518</v>
      </c>
      <c r="D7" s="33">
        <v>73181.453669244816</v>
      </c>
      <c r="E7" s="33">
        <v>457.60940655800636</v>
      </c>
      <c r="F7" s="33">
        <v>16261.06876576775</v>
      </c>
      <c r="G7" s="33">
        <v>0</v>
      </c>
      <c r="H7" s="33">
        <v>49445.568718764793</v>
      </c>
    </row>
    <row r="8" spans="2:26" x14ac:dyDescent="0.2">
      <c r="B8" s="108" t="s">
        <v>71</v>
      </c>
      <c r="C8" s="33">
        <v>13280.440905103038</v>
      </c>
      <c r="D8" s="33">
        <v>10431.765734597953</v>
      </c>
      <c r="E8" s="33">
        <v>3013.2155830489924</v>
      </c>
      <c r="F8" s="33">
        <v>6043.6622445532803</v>
      </c>
      <c r="G8" s="33">
        <v>5545.1417031033243</v>
      </c>
      <c r="H8" s="33">
        <v>8527.7235592221259</v>
      </c>
    </row>
    <row r="9" spans="2:26" x14ac:dyDescent="0.2">
      <c r="B9" s="108" t="s">
        <v>72</v>
      </c>
      <c r="C9" s="33">
        <v>82554.619622404367</v>
      </c>
      <c r="D9" s="33">
        <v>228.37140137188305</v>
      </c>
      <c r="E9" s="33">
        <v>-152.76060455156443</v>
      </c>
      <c r="F9" s="33">
        <v>2191.4667418133649</v>
      </c>
      <c r="G9" s="33">
        <v>0</v>
      </c>
      <c r="H9" s="33">
        <v>3555.1346507798817</v>
      </c>
    </row>
    <row r="10" spans="2:26" x14ac:dyDescent="0.2">
      <c r="B10" s="108" t="s">
        <v>73</v>
      </c>
      <c r="C10" s="33">
        <v>2662.5641686717317</v>
      </c>
      <c r="D10" s="33">
        <v>419.40856384840311</v>
      </c>
      <c r="E10" s="33">
        <v>205.16496829522077</v>
      </c>
      <c r="F10" s="33">
        <v>542.47250520673219</v>
      </c>
      <c r="G10" s="33">
        <v>204.4689756732183</v>
      </c>
      <c r="H10" s="33">
        <v>458.69721031899508</v>
      </c>
    </row>
    <row r="11" spans="2:26" x14ac:dyDescent="0.2">
      <c r="B11" s="109" t="s">
        <v>94</v>
      </c>
      <c r="C11" s="33">
        <v>3226.8612716348703</v>
      </c>
      <c r="D11" s="33">
        <v>1189.3982937747171</v>
      </c>
      <c r="E11" s="33">
        <v>40092.009577040597</v>
      </c>
      <c r="F11" s="33">
        <v>34071.507240013685</v>
      </c>
      <c r="G11" s="33">
        <v>0</v>
      </c>
      <c r="H11" s="33">
        <v>11499.185501183358</v>
      </c>
    </row>
    <row r="12" spans="2:26" x14ac:dyDescent="0.2">
      <c r="B12" s="109" t="s">
        <v>440</v>
      </c>
      <c r="C12" s="33">
        <v>1630.0381438413538</v>
      </c>
      <c r="D12" s="33">
        <v>645.28701663912307</v>
      </c>
      <c r="E12" s="33">
        <v>7066.3390660547575</v>
      </c>
      <c r="F12" s="33">
        <v>4582.0758750361765</v>
      </c>
      <c r="G12" s="33">
        <v>747.70458065960452</v>
      </c>
      <c r="H12" s="33">
        <v>2333.5706093740209</v>
      </c>
    </row>
    <row r="13" spans="2:26" x14ac:dyDescent="0.2">
      <c r="B13" s="109" t="s">
        <v>75</v>
      </c>
      <c r="C13" s="33">
        <v>3019.5153445151614</v>
      </c>
      <c r="D13" s="33">
        <v>3323.6653140125777</v>
      </c>
      <c r="E13" s="33">
        <v>4588.7800361231393</v>
      </c>
      <c r="F13" s="33">
        <v>5699.3799268204939</v>
      </c>
      <c r="G13" s="33">
        <v>1449.6045128195099</v>
      </c>
      <c r="H13" s="33">
        <v>3638.7273223027555</v>
      </c>
    </row>
    <row r="14" spans="2:26" x14ac:dyDescent="0.2">
      <c r="B14" s="109" t="s">
        <v>76</v>
      </c>
      <c r="C14" s="33">
        <v>10557.373778885074</v>
      </c>
      <c r="D14" s="33">
        <v>3790.3989671960057</v>
      </c>
      <c r="E14" s="33">
        <v>7470.3353068321612</v>
      </c>
      <c r="F14" s="33">
        <v>7667.3298935087878</v>
      </c>
      <c r="G14" s="33">
        <v>3172.2301857213852</v>
      </c>
      <c r="H14" s="33">
        <v>5045.5206445959011</v>
      </c>
    </row>
    <row r="15" spans="2:26" x14ac:dyDescent="0.2">
      <c r="B15" s="109" t="s">
        <v>77</v>
      </c>
      <c r="C15" s="33">
        <v>1390.3708235756508</v>
      </c>
      <c r="D15" s="33">
        <v>906.16085398951441</v>
      </c>
      <c r="E15" s="33">
        <v>399.14850358086323</v>
      </c>
      <c r="F15" s="33">
        <v>528.13569025056097</v>
      </c>
      <c r="G15" s="33">
        <v>4118.2900823583859</v>
      </c>
      <c r="H15" s="33">
        <v>875.57130042626761</v>
      </c>
    </row>
    <row r="16" spans="2:26" ht="14.25" x14ac:dyDescent="0.2">
      <c r="B16" s="10" t="s">
        <v>451</v>
      </c>
      <c r="C16" s="31">
        <v>121901.29676199202</v>
      </c>
      <c r="D16" s="31">
        <v>94179.882031156551</v>
      </c>
      <c r="E16" s="31">
        <v>63281.872510940208</v>
      </c>
      <c r="F16" s="31">
        <v>77682.65040986333</v>
      </c>
      <c r="G16" s="31">
        <v>15307.788325481402</v>
      </c>
      <c r="H16" s="31">
        <v>85464.787124472146</v>
      </c>
    </row>
    <row r="17" spans="2:23" x14ac:dyDescent="0.2">
      <c r="B17" s="256" t="s">
        <v>79</v>
      </c>
      <c r="C17" s="257"/>
      <c r="D17" s="257"/>
      <c r="E17" s="257"/>
      <c r="F17" s="257"/>
      <c r="G17" s="257"/>
      <c r="H17" s="257"/>
    </row>
    <row r="18" spans="2:23" x14ac:dyDescent="0.2">
      <c r="B18" s="109" t="s">
        <v>80</v>
      </c>
      <c r="C18" s="33">
        <v>1941.3059876007667</v>
      </c>
      <c r="D18" s="33">
        <v>8889.2375811030706</v>
      </c>
      <c r="E18" s="33">
        <v>579.39467440222188</v>
      </c>
      <c r="F18" s="33">
        <v>3830.6073702475546</v>
      </c>
      <c r="G18" s="33">
        <v>524.28064894287206</v>
      </c>
      <c r="H18" s="33">
        <v>6264.4860512889527</v>
      </c>
    </row>
    <row r="19" spans="2:23" x14ac:dyDescent="0.2">
      <c r="B19" s="109" t="s">
        <v>81</v>
      </c>
      <c r="C19" s="33">
        <v>7102.2459653901287</v>
      </c>
      <c r="D19" s="33">
        <v>4197.25134664296</v>
      </c>
      <c r="E19" s="33">
        <v>2944.2159688271468</v>
      </c>
      <c r="F19" s="33">
        <v>4320.8615789480109</v>
      </c>
      <c r="G19" s="33">
        <v>1464.2188620928712</v>
      </c>
      <c r="H19" s="33">
        <v>3953.5875519330766</v>
      </c>
    </row>
    <row r="20" spans="2:23" x14ac:dyDescent="0.2">
      <c r="B20" s="109" t="s">
        <v>82</v>
      </c>
      <c r="C20" s="33">
        <v>9611.5638695581147</v>
      </c>
      <c r="D20" s="33">
        <v>4459.9435734832286</v>
      </c>
      <c r="E20" s="33">
        <v>297.54097160511952</v>
      </c>
      <c r="F20" s="33">
        <v>1800.2747706838336</v>
      </c>
      <c r="G20" s="33">
        <v>165.49959016740664</v>
      </c>
      <c r="H20" s="33">
        <v>3490.8667221949786</v>
      </c>
    </row>
    <row r="21" spans="2:23" x14ac:dyDescent="0.2">
      <c r="B21" s="109" t="s">
        <v>83</v>
      </c>
      <c r="C21" s="33">
        <v>3034.6712040562734</v>
      </c>
      <c r="D21" s="33">
        <v>2735.3304500998261</v>
      </c>
      <c r="E21" s="33">
        <v>2846.3187645110952</v>
      </c>
      <c r="F21" s="33">
        <v>2793.0948005756527</v>
      </c>
      <c r="G21" s="33">
        <v>2290.0008879737316</v>
      </c>
      <c r="H21" s="33">
        <v>2764.3345734375175</v>
      </c>
    </row>
    <row r="22" spans="2:23" x14ac:dyDescent="0.2">
      <c r="B22" s="109" t="s">
        <v>84</v>
      </c>
      <c r="C22" s="33">
        <v>2405.9696424018566</v>
      </c>
      <c r="D22" s="33">
        <v>1557.4733723674676</v>
      </c>
      <c r="E22" s="33">
        <v>3957.4754669512922</v>
      </c>
      <c r="F22" s="33">
        <v>2312.4912507751606</v>
      </c>
      <c r="G22" s="33">
        <v>602.20661194939385</v>
      </c>
      <c r="H22" s="33">
        <v>2160.0265183461629</v>
      </c>
    </row>
    <row r="23" spans="2:23" x14ac:dyDescent="0.2">
      <c r="B23" s="10" t="s">
        <v>91</v>
      </c>
      <c r="C23" s="31">
        <v>24095.756669007074</v>
      </c>
      <c r="D23" s="31">
        <v>21839.236323696892</v>
      </c>
      <c r="E23" s="31">
        <v>10624.945846296696</v>
      </c>
      <c r="F23" s="31">
        <v>15057.329771230148</v>
      </c>
      <c r="G23" s="31">
        <v>5046.2066011262796</v>
      </c>
      <c r="H23" s="31">
        <v>18633.301417200775</v>
      </c>
    </row>
    <row r="24" spans="2:23" x14ac:dyDescent="0.2">
      <c r="B24" s="256" t="s">
        <v>30</v>
      </c>
      <c r="C24" s="257"/>
      <c r="D24" s="257"/>
      <c r="E24" s="257"/>
      <c r="F24" s="257"/>
      <c r="G24" s="257"/>
      <c r="H24" s="257"/>
    </row>
    <row r="25" spans="2:23" ht="14.25" x14ac:dyDescent="0.2">
      <c r="B25" s="10" t="s">
        <v>452</v>
      </c>
      <c r="C25" s="31">
        <v>97956.871812857993</v>
      </c>
      <c r="D25" s="31">
        <v>72427.212776338303</v>
      </c>
      <c r="E25" s="31">
        <v>53212.629308846699</v>
      </c>
      <c r="F25" s="31">
        <v>62776.663154963499</v>
      </c>
      <c r="G25" s="31">
        <v>11886.4243061253</v>
      </c>
      <c r="H25" s="31">
        <v>67072.955468588101</v>
      </c>
    </row>
    <row r="26" spans="2:23" x14ac:dyDescent="0.2">
      <c r="B26" s="256" t="s">
        <v>607</v>
      </c>
      <c r="C26" s="257"/>
      <c r="D26" s="257"/>
      <c r="E26" s="257"/>
      <c r="F26" s="257"/>
      <c r="G26" s="257"/>
      <c r="H26" s="257"/>
    </row>
    <row r="27" spans="2:23" x14ac:dyDescent="0.2">
      <c r="B27" s="109" t="s">
        <v>85</v>
      </c>
      <c r="C27" s="33">
        <v>242252.77417790968</v>
      </c>
      <c r="D27" s="33">
        <v>144570.89955683969</v>
      </c>
      <c r="E27" s="33">
        <v>369163.01300127653</v>
      </c>
      <c r="F27" s="33">
        <v>331208.66697383393</v>
      </c>
      <c r="G27" s="33">
        <v>103660.97461234765</v>
      </c>
      <c r="H27" s="33">
        <v>206630.36495160495</v>
      </c>
    </row>
    <row r="28" spans="2:23" x14ac:dyDescent="0.2">
      <c r="B28" s="109" t="s">
        <v>86</v>
      </c>
      <c r="C28" s="33">
        <v>23419.255491074029</v>
      </c>
      <c r="D28" s="33">
        <v>6130.4098257966916</v>
      </c>
      <c r="E28" s="33">
        <v>12190.362901382767</v>
      </c>
      <c r="F28" s="33">
        <v>15766.881115337843</v>
      </c>
      <c r="G28" s="33">
        <v>3269.9192275520008</v>
      </c>
      <c r="H28" s="33">
        <v>8504.7980441688505</v>
      </c>
    </row>
    <row r="29" spans="2:23" x14ac:dyDescent="0.2">
      <c r="B29" s="109" t="s">
        <v>87</v>
      </c>
      <c r="C29" s="33">
        <v>394957.37356581254</v>
      </c>
      <c r="D29" s="33">
        <v>199286.95116611119</v>
      </c>
      <c r="E29" s="33">
        <v>295559.96717644995</v>
      </c>
      <c r="F29" s="33">
        <v>312968.02458485332</v>
      </c>
      <c r="G29" s="33">
        <v>99991.825073545202</v>
      </c>
      <c r="H29" s="33">
        <v>231159.19027339321</v>
      </c>
    </row>
    <row r="30" spans="2:23" x14ac:dyDescent="0.2">
      <c r="B30" s="109" t="s">
        <v>88</v>
      </c>
      <c r="C30" s="33">
        <v>272894.37003838056</v>
      </c>
      <c r="D30" s="33">
        <v>3993.073025312699</v>
      </c>
      <c r="E30" s="33">
        <v>6083.0074772801618</v>
      </c>
      <c r="F30" s="33">
        <v>17856.50908722958</v>
      </c>
      <c r="G30" s="33">
        <v>3851.497082219299</v>
      </c>
      <c r="H30" s="33">
        <v>15901.37015621009</v>
      </c>
      <c r="M30" s="260"/>
      <c r="N30" s="260"/>
      <c r="O30" s="260"/>
      <c r="P30" s="260"/>
      <c r="Q30" s="260"/>
      <c r="R30" s="260"/>
      <c r="S30" s="260"/>
      <c r="T30" s="260"/>
      <c r="U30" s="260"/>
      <c r="V30" s="260"/>
      <c r="W30" s="260"/>
    </row>
    <row r="31" spans="2:23" x14ac:dyDescent="0.2">
      <c r="B31" s="109" t="s">
        <v>89</v>
      </c>
      <c r="C31" s="33">
        <v>12677.060537868638</v>
      </c>
      <c r="D31" s="33">
        <v>7776.4904226859644</v>
      </c>
      <c r="E31" s="33">
        <v>8626.6976012764844</v>
      </c>
      <c r="F31" s="33">
        <v>10519.148699798261</v>
      </c>
      <c r="G31" s="33">
        <v>13191.539457178209</v>
      </c>
      <c r="H31" s="33">
        <v>8402.8804358155812</v>
      </c>
    </row>
    <row r="32" spans="2:23" ht="14.25" x14ac:dyDescent="0.2">
      <c r="B32" s="10" t="s">
        <v>453</v>
      </c>
      <c r="C32" s="31">
        <v>946415.66451313824</v>
      </c>
      <c r="D32" s="31">
        <v>361758.83031978441</v>
      </c>
      <c r="E32" s="31">
        <v>691664.97906394361</v>
      </c>
      <c r="F32" s="31">
        <v>688337.48138165521</v>
      </c>
      <c r="G32" s="31">
        <v>223965.75545284187</v>
      </c>
      <c r="H32" s="31">
        <v>470618.54986393987</v>
      </c>
      <c r="L32" s="48"/>
      <c r="M32" s="48"/>
      <c r="N32" s="48"/>
      <c r="O32" s="48"/>
      <c r="P32" s="48"/>
      <c r="Q32" s="48"/>
      <c r="R32" s="48"/>
      <c r="S32" s="48"/>
      <c r="T32" s="48"/>
      <c r="U32" s="48"/>
      <c r="V32" s="48"/>
      <c r="W32" s="48"/>
    </row>
    <row r="33" spans="2:23" x14ac:dyDescent="0.2">
      <c r="B33" s="256" t="s">
        <v>90</v>
      </c>
      <c r="C33" s="257"/>
      <c r="D33" s="257"/>
      <c r="E33" s="257"/>
      <c r="F33" s="257"/>
      <c r="G33" s="257"/>
      <c r="H33" s="257"/>
      <c r="L33" s="48"/>
      <c r="M33" s="48"/>
      <c r="N33" s="48"/>
      <c r="O33" s="48"/>
      <c r="P33" s="48"/>
      <c r="Q33" s="48"/>
      <c r="R33" s="48"/>
      <c r="S33" s="48"/>
      <c r="T33" s="48"/>
      <c r="U33" s="48"/>
      <c r="V33" s="48"/>
      <c r="W33" s="48"/>
    </row>
    <row r="34" spans="2:23" x14ac:dyDescent="0.2">
      <c r="B34" s="10" t="s">
        <v>90</v>
      </c>
      <c r="C34" s="31">
        <v>494194.65236950398</v>
      </c>
      <c r="D34" s="31">
        <v>199128.29908016199</v>
      </c>
      <c r="E34" s="31">
        <v>144708.125325823</v>
      </c>
      <c r="F34" s="31">
        <v>218179.48689480399</v>
      </c>
      <c r="G34" s="31">
        <v>80390.808157506006</v>
      </c>
      <c r="H34" s="31">
        <v>195874.45115684901</v>
      </c>
      <c r="L34" s="48"/>
      <c r="M34" s="48"/>
      <c r="N34" s="48"/>
      <c r="O34" s="48"/>
      <c r="P34" s="48"/>
      <c r="Q34" s="48"/>
      <c r="R34" s="48"/>
      <c r="S34" s="48"/>
      <c r="T34" s="48"/>
      <c r="U34" s="48"/>
      <c r="V34" s="48"/>
      <c r="W34" s="48"/>
    </row>
    <row r="35" spans="2:23" x14ac:dyDescent="0.2">
      <c r="B35" s="256" t="s">
        <v>32</v>
      </c>
      <c r="C35" s="257"/>
      <c r="D35" s="257"/>
      <c r="E35" s="257"/>
      <c r="F35" s="257"/>
      <c r="G35" s="257"/>
      <c r="H35" s="257"/>
      <c r="L35" s="48"/>
      <c r="M35" s="48"/>
      <c r="N35" s="48"/>
      <c r="O35" s="48"/>
      <c r="P35" s="48"/>
      <c r="Q35" s="48"/>
      <c r="R35" s="48"/>
      <c r="S35" s="48"/>
      <c r="T35" s="48"/>
      <c r="U35" s="48"/>
      <c r="V35" s="48"/>
      <c r="W35" s="48"/>
    </row>
    <row r="36" spans="2:23" ht="14.25" x14ac:dyDescent="0.2">
      <c r="B36" s="10" t="s">
        <v>454</v>
      </c>
      <c r="C36" s="31">
        <v>477371.05159074202</v>
      </c>
      <c r="D36" s="31">
        <v>176508.40244441401</v>
      </c>
      <c r="E36" s="31">
        <v>549347.28292067198</v>
      </c>
      <c r="F36" s="31">
        <v>476065.50110057299</v>
      </c>
      <c r="G36" s="31">
        <v>150162.44881221399</v>
      </c>
      <c r="H36" s="31">
        <v>285923.25779305701</v>
      </c>
      <c r="L36" s="48"/>
      <c r="M36" s="48"/>
      <c r="N36" s="48"/>
      <c r="O36" s="48"/>
      <c r="P36" s="48"/>
      <c r="Q36" s="48"/>
      <c r="R36" s="48"/>
      <c r="S36" s="48"/>
      <c r="T36" s="48"/>
      <c r="U36" s="48"/>
      <c r="V36" s="48"/>
      <c r="W36" s="48"/>
    </row>
    <row r="37" spans="2:23" x14ac:dyDescent="0.2">
      <c r="L37" s="48"/>
      <c r="M37" s="48"/>
      <c r="N37" s="48"/>
      <c r="O37" s="48"/>
      <c r="P37" s="48"/>
      <c r="Q37" s="48"/>
      <c r="R37" s="48"/>
      <c r="S37" s="48"/>
      <c r="T37" s="48"/>
      <c r="U37" s="48"/>
      <c r="V37" s="48"/>
      <c r="W37" s="48"/>
    </row>
    <row r="38" spans="2:23" s="130" customFormat="1" x14ac:dyDescent="0.2">
      <c r="B38" s="261" t="s">
        <v>33</v>
      </c>
      <c r="C38" s="260"/>
      <c r="D38" s="260"/>
      <c r="E38" s="260"/>
      <c r="F38" s="260"/>
      <c r="G38" s="260"/>
      <c r="H38" s="260"/>
      <c r="L38" s="48"/>
      <c r="M38" s="48"/>
      <c r="N38" s="48"/>
      <c r="O38" s="48"/>
      <c r="P38" s="48"/>
      <c r="Q38" s="48"/>
      <c r="R38" s="48"/>
      <c r="S38" s="48"/>
      <c r="T38" s="48"/>
      <c r="U38" s="48"/>
      <c r="V38" s="48"/>
      <c r="W38" s="48"/>
    </row>
    <row r="39" spans="2:23" ht="26.25" customHeight="1" x14ac:dyDescent="0.2">
      <c r="B39" s="258" t="s">
        <v>455</v>
      </c>
      <c r="C39" s="260"/>
      <c r="D39" s="260"/>
      <c r="E39" s="260"/>
      <c r="F39" s="260"/>
      <c r="G39" s="260"/>
      <c r="H39" s="260"/>
      <c r="L39" s="48"/>
      <c r="M39" s="48"/>
      <c r="N39" s="48"/>
      <c r="O39" s="48"/>
      <c r="P39" s="48"/>
      <c r="Q39" s="48"/>
      <c r="R39" s="48"/>
      <c r="S39" s="48"/>
      <c r="T39" s="48"/>
      <c r="U39" s="48"/>
      <c r="V39" s="48"/>
      <c r="W39" s="48"/>
    </row>
    <row r="40" spans="2:23" ht="26.25" customHeight="1" x14ac:dyDescent="0.2">
      <c r="B40" s="258" t="s">
        <v>456</v>
      </c>
      <c r="C40" s="260"/>
      <c r="D40" s="260"/>
      <c r="E40" s="260"/>
      <c r="F40" s="260"/>
      <c r="G40" s="260"/>
      <c r="H40" s="260"/>
      <c r="L40" s="48"/>
      <c r="M40" s="48"/>
      <c r="N40" s="48"/>
      <c r="O40" s="48"/>
      <c r="P40" s="48"/>
      <c r="Q40" s="48"/>
      <c r="R40" s="48"/>
      <c r="S40" s="48"/>
      <c r="T40" s="48"/>
      <c r="U40" s="48"/>
      <c r="V40" s="48"/>
      <c r="W40" s="48"/>
    </row>
    <row r="41" spans="2:23" ht="39.75" customHeight="1" x14ac:dyDescent="0.2">
      <c r="B41" s="258" t="s">
        <v>457</v>
      </c>
      <c r="C41" s="259"/>
      <c r="D41" s="259"/>
      <c r="E41" s="259"/>
      <c r="F41" s="259"/>
      <c r="G41" s="259"/>
      <c r="H41" s="259"/>
    </row>
  </sheetData>
  <mergeCells count="18">
    <mergeCell ref="B6:H6"/>
    <mergeCell ref="B17:H17"/>
    <mergeCell ref="B24:H24"/>
    <mergeCell ref="H3:H4"/>
    <mergeCell ref="B3:B4"/>
    <mergeCell ref="C3:D3"/>
    <mergeCell ref="E3:E4"/>
    <mergeCell ref="F3:F4"/>
    <mergeCell ref="G3:G4"/>
    <mergeCell ref="T30:W30"/>
    <mergeCell ref="B33:H33"/>
    <mergeCell ref="B35:H35"/>
    <mergeCell ref="B41:H41"/>
    <mergeCell ref="B26:H26"/>
    <mergeCell ref="B40:H40"/>
    <mergeCell ref="B39:H39"/>
    <mergeCell ref="M30:S30"/>
    <mergeCell ref="B38:H38"/>
  </mergeCells>
  <pageMargins left="0.78740157480314965" right="0.78740157480314965" top="0.98425196850393704" bottom="0.98425196850393704" header="0.51181102362204722" footer="0.51181102362204722"/>
  <pageSetup paperSize="9" scale="75" orientation="landscape" r:id="rId1"/>
  <headerFooter alignWithMargins="0"/>
  <rowBreaks count="1" manualBreakCount="1">
    <brk id="51" max="1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39</vt:i4>
      </vt:variant>
      <vt:variant>
        <vt:lpstr>Benannte Bereiche</vt:lpstr>
      </vt:variant>
      <vt:variant>
        <vt:i4>39</vt:i4>
      </vt:variant>
    </vt:vector>
  </HeadingPairs>
  <TitlesOfParts>
    <vt:vector size="78" baseType="lpstr">
      <vt:lpstr>Inhaltsverzeichnis</vt:lpstr>
      <vt:lpstr>T 1</vt:lpstr>
      <vt:lpstr>T 2</vt:lpstr>
      <vt:lpstr>T 3</vt:lpstr>
      <vt:lpstr>T 4</vt:lpstr>
      <vt:lpstr>T 5</vt:lpstr>
      <vt:lpstr>T 6</vt:lpstr>
      <vt:lpstr>T 7</vt:lpstr>
      <vt:lpstr>T 8</vt:lpstr>
      <vt:lpstr>T 9</vt:lpstr>
      <vt:lpstr>T 10</vt:lpstr>
      <vt:lpstr>T 11a</vt:lpstr>
      <vt:lpstr>T 11b</vt:lpstr>
      <vt:lpstr>T 12a</vt:lpstr>
      <vt:lpstr>T 12b</vt:lpstr>
      <vt:lpstr>T 13a</vt:lpstr>
      <vt:lpstr>T 13b</vt:lpstr>
      <vt:lpstr>T 14a</vt:lpstr>
      <vt:lpstr>T 14b</vt:lpstr>
      <vt:lpstr>T 15a</vt:lpstr>
      <vt:lpstr>T 15b</vt:lpstr>
      <vt:lpstr>T 16</vt:lpstr>
      <vt:lpstr>T 17</vt:lpstr>
      <vt:lpstr>T 18</vt:lpstr>
      <vt:lpstr>T 19</vt:lpstr>
      <vt:lpstr>T 20</vt:lpstr>
      <vt:lpstr>T 21a</vt:lpstr>
      <vt:lpstr>T 21b</vt:lpstr>
      <vt:lpstr>T 22a</vt:lpstr>
      <vt:lpstr>T 22b</vt:lpstr>
      <vt:lpstr>T 23</vt:lpstr>
      <vt:lpstr>T 24</vt:lpstr>
      <vt:lpstr>T 25</vt:lpstr>
      <vt:lpstr>T 26a</vt:lpstr>
      <vt:lpstr>T 26b</vt:lpstr>
      <vt:lpstr>T 27</vt:lpstr>
      <vt:lpstr>T 28</vt:lpstr>
      <vt:lpstr>Gemeindekarte</vt:lpstr>
      <vt:lpstr>Erläuterungen</vt:lpstr>
      <vt:lpstr>Erläuterungen!Druckbereich</vt:lpstr>
      <vt:lpstr>Gemeindekarte!Druckbereich</vt:lpstr>
      <vt:lpstr>Inhaltsverzeichnis!Druckbereich</vt:lpstr>
      <vt:lpstr>'T 1'!Druckbereich</vt:lpstr>
      <vt:lpstr>'T 10'!Druckbereich</vt:lpstr>
      <vt:lpstr>'T 11a'!Druckbereich</vt:lpstr>
      <vt:lpstr>'T 11b'!Druckbereich</vt:lpstr>
      <vt:lpstr>'T 12a'!Druckbereich</vt:lpstr>
      <vt:lpstr>'T 12b'!Druckbereich</vt:lpstr>
      <vt:lpstr>'T 13a'!Druckbereich</vt:lpstr>
      <vt:lpstr>'T 13b'!Druckbereich</vt:lpstr>
      <vt:lpstr>'T 14a'!Druckbereich</vt:lpstr>
      <vt:lpstr>'T 14b'!Druckbereich</vt:lpstr>
      <vt:lpstr>'T 15a'!Druckbereich</vt:lpstr>
      <vt:lpstr>'T 15b'!Druckbereich</vt:lpstr>
      <vt:lpstr>'T 16'!Druckbereich</vt:lpstr>
      <vt:lpstr>'T 17'!Druckbereich</vt:lpstr>
      <vt:lpstr>'T 18'!Druckbereich</vt:lpstr>
      <vt:lpstr>'T 19'!Druckbereich</vt:lpstr>
      <vt:lpstr>'T 2'!Druckbereich</vt:lpstr>
      <vt:lpstr>'T 20'!Druckbereich</vt:lpstr>
      <vt:lpstr>'T 21a'!Druckbereich</vt:lpstr>
      <vt:lpstr>'T 21b'!Druckbereich</vt:lpstr>
      <vt:lpstr>'T 22a'!Druckbereich</vt:lpstr>
      <vt:lpstr>'T 22b'!Druckbereich</vt:lpstr>
      <vt:lpstr>'T 23'!Druckbereich</vt:lpstr>
      <vt:lpstr>'T 24'!Druckbereich</vt:lpstr>
      <vt:lpstr>'T 25'!Druckbereich</vt:lpstr>
      <vt:lpstr>'T 26a'!Druckbereich</vt:lpstr>
      <vt:lpstr>'T 26b'!Druckbereich</vt:lpstr>
      <vt:lpstr>'T 27'!Druckbereich</vt:lpstr>
      <vt:lpstr>'T 28'!Druckbereich</vt:lpstr>
      <vt:lpstr>'T 3'!Druckbereich</vt:lpstr>
      <vt:lpstr>'T 4'!Druckbereich</vt:lpstr>
      <vt:lpstr>'T 5'!Druckbereich</vt:lpstr>
      <vt:lpstr>'T 6'!Druckbereich</vt:lpstr>
      <vt:lpstr>'T 7'!Druckbereich</vt:lpstr>
      <vt:lpstr>'T 8'!Druckbereich</vt:lpstr>
      <vt:lpstr>'T 9'!Druckbereich</vt:lpstr>
    </vt:vector>
  </TitlesOfParts>
  <Company>KAI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TSCH</dc:creator>
  <cp:lastModifiedBy>Geiger Lisa</cp:lastModifiedBy>
  <cp:lastPrinted>2016-11-17T12:43:32Z</cp:lastPrinted>
  <dcterms:created xsi:type="dcterms:W3CDTF">2013-05-23T13:43:19Z</dcterms:created>
  <dcterms:modified xsi:type="dcterms:W3CDTF">2018-09-06T10:05:28Z</dcterms:modified>
</cp:coreProperties>
</file>