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ialogsheets/sheet1.xml" ContentType="application/vnd.openxmlformats-officedocument.spreadsheetml.dialogsheet+xml"/>
  <Override PartName="/xl/dialogsheets/sheet2.xml" ContentType="application/vnd.openxmlformats-officedocument.spreadsheetml.dialog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6.xml" ContentType="application/vnd.ms-excel.controlproperties+xml"/>
  <Override PartName="/xl/drawings/drawing10.xml" ContentType="application/vnd.openxmlformats-officedocument.drawing+xml"/>
  <Override PartName="/xl/ctrlProps/ctrlProp7.xml" ContentType="application/vnd.ms-excel.controlproperties+xml"/>
  <Override PartName="/xl/drawings/drawing11.xml" ContentType="application/vnd.openxmlformats-officedocument.drawing+xml"/>
  <Override PartName="/xl/ctrlProps/ctrlProp8.xml" ContentType="application/vnd.ms-excel.controlproperties+xml"/>
  <Override PartName="/xl/drawings/drawing12.xml" ContentType="application/vnd.openxmlformats-officedocument.drawing+xml"/>
  <Override PartName="/xl/ctrlProps/ctrlProp9.xml" ContentType="application/vnd.ms-excel.controlproperties+xml"/>
  <Override PartName="/xl/drawings/drawing13.xml" ContentType="application/vnd.openxmlformats-officedocument.drawing+xml"/>
  <Override PartName="/xl/ctrlProps/ctrlProp10.xml" ContentType="application/vnd.ms-excel.controlproperti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11.xml" ContentType="application/vnd.ms-excel.controlproperties+xml"/>
  <Override PartName="/xl/drawings/drawing28.xml" ContentType="application/vnd.openxmlformats-officedocument.drawing+xml"/>
  <Override PartName="/xl/ctrlProps/ctrlProp12.xml" ContentType="application/vnd.ms-excel.controlproperties+xml"/>
  <Override PartName="/xl/drawings/drawing29.xml" ContentType="application/vnd.openxmlformats-officedocument.drawing+xml"/>
  <Override PartName="/xl/ctrlProps/ctrlProp13.xml" ContentType="application/vnd.ms-excel.controlproperties+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2735" yWindow="-15" windowWidth="6420" windowHeight="12690" tabRatio="904" firstSheet="2" activeTab="27"/>
  </bookViews>
  <sheets>
    <sheet name="Q" sheetId="1" state="hidden" r:id="rId1"/>
    <sheet name="Dblatt" sheetId="38" state="hidden" r:id="rId2"/>
    <sheet name="Info" sheetId="42" r:id="rId3"/>
    <sheet name="Inv" sheetId="2" r:id="rId4"/>
    <sheet name="A1a" sheetId="3" r:id="rId5"/>
    <sheet name="A1b" sheetId="4" r:id="rId6"/>
    <sheet name="A1c" sheetId="5" r:id="rId7"/>
    <sheet name="A1d" sheetId="6" r:id="rId8"/>
    <sheet name="A1e" sheetId="7" r:id="rId9"/>
    <sheet name="A2a" sheetId="8" r:id="rId10"/>
    <sheet name="A2b" sheetId="9" r:id="rId11"/>
    <sheet name="A2c" sheetId="10" r:id="rId12"/>
    <sheet name="A2d" sheetId="11" r:id="rId13"/>
    <sheet name="A2e" sheetId="12" r:id="rId14"/>
    <sheet name="B1" sheetId="13" r:id="rId15"/>
    <sheet name="B2" sheetId="14" r:id="rId16"/>
    <sheet name="B3" sheetId="15" r:id="rId17"/>
    <sheet name="B4" sheetId="35" r:id="rId18"/>
    <sheet name="BX1" sheetId="43" state="hidden" r:id="rId19"/>
    <sheet name="BX2" sheetId="44" state="hidden" r:id="rId20"/>
    <sheet name="BX3" sheetId="45" state="hidden" r:id="rId21"/>
    <sheet name="BX4" sheetId="46" state="hidden" r:id="rId22"/>
    <sheet name="B5" sheetId="16" r:id="rId23"/>
    <sheet name="BX5" sheetId="47" state="hidden" r:id="rId24"/>
    <sheet name="B6" sheetId="17" r:id="rId25"/>
    <sheet name="Impex" sheetId="18" r:id="rId26"/>
    <sheet name="Plausi" sheetId="19" r:id="rId27"/>
    <sheet name="Poulet1" sheetId="27" r:id="rId28"/>
    <sheet name="Poulet2" sheetId="36" r:id="rId29"/>
    <sheet name="Poulet3" sheetId="37" r:id="rId30"/>
    <sheet name="Poulet_tot" sheetId="34" r:id="rId31"/>
    <sheet name="Reserve" sheetId="20" r:id="rId32"/>
    <sheet name="Faktoren" sheetId="31" state="hidden" r:id="rId33"/>
    <sheet name="Textes" sheetId="21" state="hidden" r:id="rId34"/>
    <sheet name="Corr" sheetId="22" state="hidden" r:id="rId35"/>
    <sheet name="Dialog_Blatt" sheetId="39" state="hidden" r:id="rId36"/>
    <sheet name="Dialog_Drucken" sheetId="40" state="hidden" r:id="rId37"/>
    <sheet name="M_Vars" sheetId="23" state="veryHidden" r:id="rId38"/>
    <sheet name="M_Zeilen" sheetId="24" state="veryHidden" r:id="rId39"/>
    <sheet name="M_Util" sheetId="25" state="veryHidden" r:id="rId40"/>
  </sheets>
  <definedNames>
    <definedName name="AnzahlSeiten" localSheetId="25">1</definedName>
    <definedName name="AnzahlSeiten" localSheetId="3">1</definedName>
    <definedName name="AnzahlSeiten" localSheetId="27">3</definedName>
    <definedName name="AnzahlSeiten" localSheetId="28">3</definedName>
    <definedName name="AnzahlSeiten" localSheetId="29">3</definedName>
    <definedName name="AnzAnfang" localSheetId="27">Poulet1!$G$17</definedName>
    <definedName name="AnzAnfang" localSheetId="28">Poulet2!$G$17</definedName>
    <definedName name="AnzAnfang" localSheetId="29">Poulet3!$G$17</definedName>
    <definedName name="AnzEnde" localSheetId="27">Poulet1!$G$136</definedName>
    <definedName name="AnzEnde" localSheetId="28">Poulet2!$G$89</definedName>
    <definedName name="AnzEnde" localSheetId="29">Poulet3!$G$89</definedName>
    <definedName name="AnzMP" localSheetId="26">Plausi!$E$18</definedName>
    <definedName name="AnzMP" localSheetId="30">Poulet_tot!$F$23</definedName>
    <definedName name="AnzTiere" localSheetId="4">A1a!$C$6:$C$60</definedName>
    <definedName name="AnzTiere" localSheetId="5">A1b!$C$6:$C$60</definedName>
    <definedName name="AnzTiere" localSheetId="6">A1c!$C$6:$C$60</definedName>
    <definedName name="AnzTiere" localSheetId="7">A1d!$C$6:$C$60</definedName>
    <definedName name="AnzTiere" localSheetId="8">A1e!$C$6:$C$60</definedName>
    <definedName name="AnzTiere" localSheetId="9">A2a!$C$8:$C$60</definedName>
    <definedName name="AnzTiere" localSheetId="10">A2b!$C$8:$C$60</definedName>
    <definedName name="AnzTiere" localSheetId="11">A2c!$C$8:$C$60</definedName>
    <definedName name="AnzTiere" localSheetId="12">A2d!$C$8:$C$60</definedName>
    <definedName name="AnzTiere" localSheetId="13">A2e!$C$8:$C$60</definedName>
    <definedName name="AnzTiere" localSheetId="27">Poulet1!$D$17:$D$23,Poulet1!$D$27:$D$33,Poulet1!$D$37:$D$43,Poulet1!$D$47:$D$53,Poulet1!$D$57:$D$63,Poulet1!$D$69:$D$75,Poulet1!$D$79:$D$85,Poulet1!$D$89:$D$95,Poulet1!$D$99:$D$105,Poulet1!$D$109:$D$115,Poulet1!$D$119:$D$125,Poulet1!$D$131:$D$137</definedName>
    <definedName name="AnzTiere" localSheetId="28">Poulet2!$D$17:$D$23,Poulet2!$D$27:$D$33,Poulet2!$D$37:$D$43,Poulet2!$D$47:$D$53,Poulet2!$D$57:$D$63,Poulet2!$D$69:$D$75,Poulet2!$D$79:$D$85,Poulet2!$D$89:$D$95,Poulet2!$D$99:$D$105,Poulet2!$D$109:$D$115,Poulet2!$D$119:$D$125,Poulet2!$D$131:$D$137</definedName>
    <definedName name="AnzTiere" localSheetId="29">Poulet3!$D$17:$D$23,Poulet3!$D$27:$D$33,Poulet3!$D$37:$D$43,Poulet3!$D$47:$D$53,Poulet3!$D$57:$D$63,Poulet3!$D$69:$D$75,Poulet3!$D$79:$D$85,Poulet3!$D$89:$D$95,Poulet3!$D$99:$D$105,Poulet3!$D$109:$D$115,Poulet3!$D$119:$D$125,Poulet3!$D$131:$D$137</definedName>
    <definedName name="AusblendSpalten" localSheetId="9">A2a!$J:$J</definedName>
    <definedName name="AusblendSpalten" localSheetId="10">A2b!$J:$J</definedName>
    <definedName name="AusblendSpalten" localSheetId="11">A2c!$J:$J</definedName>
    <definedName name="AusblendSpalten" localSheetId="12">A2d!$J:$J</definedName>
    <definedName name="AusblendSpalten" localSheetId="13">A2e!$J:$J</definedName>
    <definedName name="AusblendSpalten" localSheetId="25">Impex!$N:$Z</definedName>
    <definedName name="AusblendSpalten" localSheetId="3">Inv!$M:$U</definedName>
    <definedName name="AusblendSpalten" localSheetId="27">Poulet1!$G:$G,Poulet1!$M:$P</definedName>
    <definedName name="AusblendSpalten" localSheetId="28">Poulet2!$G:$G,Poulet2!$M:$P</definedName>
    <definedName name="AusblendSpalten" localSheetId="29">Poulet3!$G:$G,Poulet3!$M:$P</definedName>
    <definedName name="AusblendZeilen" localSheetId="4">A1a!$6:$6</definedName>
    <definedName name="AusblendZeilen" localSheetId="5">A1b!$6:$6</definedName>
    <definedName name="AusblendZeilen" localSheetId="6">A1c!$6:$6</definedName>
    <definedName name="AusblendZeilen" localSheetId="7">A1d!$6:$6</definedName>
    <definedName name="AusblendZeilen" localSheetId="8">A1e!$6:$6</definedName>
    <definedName name="AusblendZeilen" localSheetId="9">A2a!$8:$8</definedName>
    <definedName name="AusblendZeilen" localSheetId="10">A2b!$8:$8</definedName>
    <definedName name="AusblendZeilen" localSheetId="11">A2c!$8:$8</definedName>
    <definedName name="AusblendZeilen" localSheetId="12">A2d!$8:$8</definedName>
    <definedName name="AusblendZeilen" localSheetId="13">A2e!$8:$8</definedName>
    <definedName name="AusblendZeilen" localSheetId="14">'B1'!$13:$13</definedName>
    <definedName name="AusblendZeilen" localSheetId="15">'B2'!$13:$13</definedName>
    <definedName name="AusblendZeilen" localSheetId="16">'B3'!$13:$13</definedName>
    <definedName name="AusblendZeilen" localSheetId="17">'B4'!$13:$13</definedName>
    <definedName name="AusblendZeilen" localSheetId="22">'B5'!$11:$11</definedName>
    <definedName name="AusblendZeilen" localSheetId="24">'B6'!$11:$11</definedName>
    <definedName name="AusblendZeilen" localSheetId="18">'BX1'!$13:$13</definedName>
    <definedName name="AusblendZeilen" localSheetId="19">'BX2'!$13:$13</definedName>
    <definedName name="AusblendZeilen" localSheetId="20">'BX3'!$13:$13</definedName>
    <definedName name="AusblendZeilen" localSheetId="21">'BX4'!$13:$13</definedName>
    <definedName name="AusblendZeilen" localSheetId="23">'BX5'!$11:$11</definedName>
    <definedName name="AusblendZeilen" localSheetId="3">Inv!$14:$14,Inv!$27:$27,Inv!$62:$62</definedName>
    <definedName name="AusblendZeilen" localSheetId="27">Poulet1!$144:$156</definedName>
    <definedName name="AusblendZeilen" localSheetId="28">Poulet2!$144:$156</definedName>
    <definedName name="AusblendZeilen" localSheetId="29">Poulet3!$144:$156</definedName>
    <definedName name="auswählen" localSheetId="0">Q!$E$13</definedName>
    <definedName name="BlattListe" localSheetId="0">Q!$A$43:$A$67</definedName>
    <definedName name="BlattName" localSheetId="25">Impex!$L$1</definedName>
    <definedName name="Blattname" localSheetId="3">Inv!$K$1</definedName>
    <definedName name="BlattName" localSheetId="27">Poulet1!$L$2</definedName>
    <definedName name="BlattName" localSheetId="28">Poulet2!$L$2</definedName>
    <definedName name="BlattName" localSheetId="29">Poulet3!$L$2</definedName>
    <definedName name="BlattRef" localSheetId="0">Q!$A$6:$A$39</definedName>
    <definedName name="BlattwahlNo" localSheetId="4">3</definedName>
    <definedName name="BlattwahlNo" localSheetId="5">4</definedName>
    <definedName name="BlattwahlNo" localSheetId="6">5</definedName>
    <definedName name="BlattwahlNo" localSheetId="7">6</definedName>
    <definedName name="BlattwahlNo" localSheetId="8">7</definedName>
    <definedName name="BlattwahlNo" localSheetId="9">8</definedName>
    <definedName name="BlattwahlNo" localSheetId="10">9</definedName>
    <definedName name="BlattwahlNo" localSheetId="11">10</definedName>
    <definedName name="BlattwahlNo" localSheetId="12">11</definedName>
    <definedName name="BlattwahlNo" localSheetId="13">12</definedName>
    <definedName name="BlattwahlNo" localSheetId="14">13</definedName>
    <definedName name="BlattwahlNo" localSheetId="15">14</definedName>
    <definedName name="BlattwahlNo" localSheetId="16">15</definedName>
    <definedName name="BlattwahlNo" localSheetId="17">16</definedName>
    <definedName name="BlattwahlNo" localSheetId="22">17</definedName>
    <definedName name="BlattwahlNo" localSheetId="24">18</definedName>
    <definedName name="BlattwahlNo" localSheetId="18">0</definedName>
    <definedName name="BlattwahlNo" localSheetId="19">0</definedName>
    <definedName name="BlattwahlNo" localSheetId="20">0</definedName>
    <definedName name="BlattwahlNo" localSheetId="21">0</definedName>
    <definedName name="BlattwahlNo" localSheetId="23">0</definedName>
    <definedName name="BlattwahlNo" localSheetId="34">0</definedName>
    <definedName name="BlattwahlNo" localSheetId="1">0</definedName>
    <definedName name="BlattwahlNo" localSheetId="32">0</definedName>
    <definedName name="BlattwahlNo" localSheetId="25">19</definedName>
    <definedName name="BlattwahlNo" localSheetId="2">1</definedName>
    <definedName name="BlattwahlNo" localSheetId="3">2</definedName>
    <definedName name="BlattwahlNo" localSheetId="26">20</definedName>
    <definedName name="BlattwahlNo" localSheetId="30">24</definedName>
    <definedName name="BlattwahlNo" localSheetId="27">21</definedName>
    <definedName name="BlattwahlNo" localSheetId="28">22</definedName>
    <definedName name="BlattwahlNo" localSheetId="29">23</definedName>
    <definedName name="BlattwahlNo" localSheetId="31">25</definedName>
    <definedName name="BlattwahlNo" localSheetId="33">0</definedName>
    <definedName name="Datum" localSheetId="4">A1a!$B$6:$B$60</definedName>
    <definedName name="Datum" localSheetId="5">A1b!$B$6:$B$60</definedName>
    <definedName name="Datum" localSheetId="6">A1c!$B$6:$B$60</definedName>
    <definedName name="Datum" localSheetId="7">A1d!$B$6:$B$60</definedName>
    <definedName name="Datum" localSheetId="8">A1e!$B$6:$B$60</definedName>
    <definedName name="Datum" localSheetId="9">A2a!$B$8:$B$60</definedName>
    <definedName name="Datum" localSheetId="10">A2b!$B$8:$B$60</definedName>
    <definedName name="Datum" localSheetId="11">A2c!$B$8:$B$60</definedName>
    <definedName name="Datum" localSheetId="12">A2d!$B$8:$B$60</definedName>
    <definedName name="Datum" localSheetId="13">A2e!$B$8:$B$60</definedName>
    <definedName name="Datum" localSheetId="27">Poulet1!$B$17:$B$23,Poulet1!$B$27:$B$33,Poulet1!$B$37:$B$43,Poulet1!$B$47:$B$53,Poulet1!$B$57:$B$63,Poulet1!$B$69:$B$75,Poulet1!$B$79:$B$85,Poulet1!$B$89:$B$95,Poulet1!$B$99:$B$105,Poulet1!$B$109:$B$115,Poulet1!$B$119:$B$125,Poulet1!$B$131:$B$137</definedName>
    <definedName name="Datum" localSheetId="28">Poulet2!$B$17:$B$23,Poulet2!$B$27:$B$33,Poulet2!$B$37:$B$43,Poulet2!$B$47:$B$53,Poulet2!$B$57:$B$63,Poulet2!$B$69:$B$75,Poulet2!$B$79:$B$85,Poulet2!$B$89:$B$95,Poulet2!$B$99:$B$105,Poulet2!$B$109:$B$115,Poulet2!$B$119:$B$125,Poulet2!$B$131:$B$137</definedName>
    <definedName name="Datum" localSheetId="29">Poulet3!$B$17:$B$23,Poulet3!$B$27:$B$33,Poulet3!$B$37:$B$43,Poulet3!$B$47:$B$53,Poulet3!$B$57:$B$63,Poulet3!$B$69:$B$75,Poulet3!$B$79:$B$85,Poulet3!$B$89:$B$95,Poulet3!$B$99:$B$105,Poulet3!$B$109:$B$115,Poulet3!$B$119:$B$125,Poulet3!$B$131:$B$137</definedName>
    <definedName name="DatumAnfang" localSheetId="3">Inv!$I$8</definedName>
    <definedName name="DatumEnde" localSheetId="3">Inv!$I$9</definedName>
    <definedName name="_xlnm.Print_Area" localSheetId="4">A1a!$A:$H</definedName>
    <definedName name="_xlnm.Print_Area" localSheetId="5">A1b!$A:$H</definedName>
    <definedName name="_xlnm.Print_Area" localSheetId="6">A1c!$A:$H</definedName>
    <definedName name="_xlnm.Print_Area" localSheetId="7">A1d!$A:$H</definedName>
    <definedName name="_xlnm.Print_Area" localSheetId="8">A1e!$A:$H</definedName>
    <definedName name="_xlnm.Print_Area" localSheetId="9">A2a!$A$1:$I$67</definedName>
    <definedName name="_xlnm.Print_Area" localSheetId="10">A2b!$A$1:$I$67</definedName>
    <definedName name="_xlnm.Print_Area" localSheetId="11">A2c!$A$1:$I$67</definedName>
    <definedName name="_xlnm.Print_Area" localSheetId="12">A2d!$A$1:$I$67</definedName>
    <definedName name="_xlnm.Print_Area" localSheetId="13">A2e!$A$1:$I$67</definedName>
    <definedName name="_xlnm.Print_Area" localSheetId="24">'B6'!$A:$I</definedName>
    <definedName name="_xlnm.Print_Area" localSheetId="1">Dblatt!$B$1:$H$48</definedName>
    <definedName name="_xlnm.Print_Area" localSheetId="25">Impex!$B:$L</definedName>
    <definedName name="_xlnm.Print_Area" localSheetId="2">Info!$A$1:$L$90</definedName>
    <definedName name="_xlnm.Print_Area" localSheetId="3">Inv!$B:$L</definedName>
    <definedName name="_xlnm.Print_Area" localSheetId="30">Poulet_tot!$A$1:$I$42</definedName>
    <definedName name="_xlnm.Print_Area" localSheetId="27">Poulet1!$A$1:$L$179</definedName>
    <definedName name="_xlnm.Print_Area" localSheetId="28">Poulet2!$A$1:$L$179</definedName>
    <definedName name="_xlnm.Print_Area" localSheetId="29">Poulet3!$A$1:$L$179</definedName>
    <definedName name="drucken" localSheetId="0">Q!$E$14</definedName>
    <definedName name="EingabeBch" localSheetId="4">A1a!$B$6:$G$60</definedName>
    <definedName name="EingabeBch" localSheetId="5">A1b!$B$6:$G$60</definedName>
    <definedName name="EingabeBch" localSheetId="6">A1c!$B$6:$G$60</definedName>
    <definedName name="EingabeBch" localSheetId="7">A1d!$B$6:$G$60</definedName>
    <definedName name="EingabeBch" localSheetId="8">A1e!$B$6:$G$60</definedName>
    <definedName name="EingabeBch" localSheetId="9">A2a!$B$8:$H$60</definedName>
    <definedName name="EingabeBch" localSheetId="10">A2b!$B$8:$H$60</definedName>
    <definedName name="EingabeBch" localSheetId="11">A2c!$B$8:$H$60</definedName>
    <definedName name="EingabeBch" localSheetId="12">A2d!$B$8:$H$60</definedName>
    <definedName name="EingabeBch" localSheetId="13">A2e!$B$8:$H$60</definedName>
    <definedName name="FuttermittelErweitert" localSheetId="3">Inv!$S$3</definedName>
    <definedName name="FuttermittelErwInhalte" localSheetId="18">'BX1'!$B$5,'BX1'!$D$5,'BX1'!$F$5,'BX1'!$H$5,'BX1'!$B$13:$I$57</definedName>
    <definedName name="FuttermittelErwInhalte" localSheetId="19">'BX2'!$B$5,'BX2'!$D$5,'BX2'!$F$5,'BX2'!$H$5,'BX2'!$B$13:$I$57</definedName>
    <definedName name="FuttermittelErwInhalte" localSheetId="20">'BX3'!$B$5,'BX3'!$D$5,'BX3'!$F$5,'BX3'!$H$5,'BX3'!$B$13:$I$57</definedName>
    <definedName name="FuttermittelErwInhalte" localSheetId="21">'BX4'!$B$5,'BX4'!$D$5,'BX4'!$F$5,'BX4'!$H$5,'BX4'!$B$13:$I$57</definedName>
    <definedName name="FuttermittelErwInhalte" localSheetId="23">'BX5'!$B$11:$I$57</definedName>
    <definedName name="FuttermittelErwInhalte" localSheetId="3">Inv!$B$44:$K$54,Inv!$B$55:$K$59,Inv!$B$67:$K$70</definedName>
    <definedName name="FuttermittelErwZeilen" localSheetId="25">Impex!$36:$51,Impex!$57:$60</definedName>
    <definedName name="FuttermittelErwZeilen" localSheetId="3">Inv!$67:$70,Inv!$44:$59</definedName>
    <definedName name="GewAnfang" localSheetId="27">Poulet1!$N$17</definedName>
    <definedName name="GewAnfang" localSheetId="28">Poulet2!$N$17</definedName>
    <definedName name="GewAnfang" localSheetId="29">Poulet3!$N$17</definedName>
    <definedName name="GewEnde" localSheetId="27">Poulet1!$N$136</definedName>
    <definedName name="GewEnde" localSheetId="28">Poulet2!$N$89</definedName>
    <definedName name="GewEnde" localSheetId="29">Poulet3!$N$89</definedName>
    <definedName name="ID">"nicht identifiziert"</definedName>
    <definedName name="Inhaltsverzeichnis" localSheetId="1">Dblatt!$D$19:$D$59</definedName>
    <definedName name="Jahr" localSheetId="27">Poulet1!$F$7</definedName>
    <definedName name="Jahr" localSheetId="28">Poulet2!$F$7</definedName>
    <definedName name="Jahr" localSheetId="29">Poulet3!$F$7</definedName>
    <definedName name="kgLG" localSheetId="4">A1a!$D$6:$D$60</definedName>
    <definedName name="kgLG" localSheetId="5">A1b!$D$6:$D$60</definedName>
    <definedName name="kgLG" localSheetId="6">A1c!$D$6:$D$60</definedName>
    <definedName name="kgLG" localSheetId="7">A1d!$D$6:$D$60</definedName>
    <definedName name="kgLG" localSheetId="8">A1e!$D$6:$D$60</definedName>
    <definedName name="kgLG" localSheetId="9">A2a!$D$8:$D$60</definedName>
    <definedName name="kgLG" localSheetId="10">A2b!$D$8:$D$60</definedName>
    <definedName name="kgLG" localSheetId="11">A2c!$D$8:$D$60</definedName>
    <definedName name="kgLG" localSheetId="12">A2d!$D$8:$D$60</definedName>
    <definedName name="kgLG" localSheetId="13">A2e!$D$8:$D$60</definedName>
    <definedName name="kgLG" localSheetId="27">Poulet1!$F$17:$F$23,Poulet1!$F$27:$F$33,Poulet1!$F$37:$F$43,Poulet1!$F$47:$F$53,Poulet1!$F$57:$F$63,Poulet1!$F$69:$F$75,Poulet1!$F$79:$F$85,Poulet1!$F$89:$F$95,Poulet1!$F$99:$F$105,Poulet1!$F$109:$F$115,Poulet1!$F$119:$F$125,Poulet1!$F$131:$F$137</definedName>
    <definedName name="kgLG" localSheetId="28">Poulet2!$F$17:$F$23,Poulet2!$F$27:$F$33,Poulet2!$F$37:$F$43,Poulet2!$F$47:$F$53,Poulet2!$F$57:$F$63,Poulet2!$F$69:$F$75,Poulet2!$F$79:$F$85,Poulet2!$F$89:$F$95,Poulet2!$F$99:$F$105,Poulet2!$F$109:$F$115,Poulet2!$F$119:$F$125,Poulet2!$F$131:$F$137</definedName>
    <definedName name="kgLG" localSheetId="29">Poulet3!$F$17:$F$23,Poulet3!$F$27:$F$33,Poulet3!$F$37:$F$43,Poulet3!$F$47:$F$53,Poulet3!$F$57:$F$63,Poulet3!$F$69:$F$75,Poulet3!$F$79:$F$85,Poulet3!$F$89:$F$95,Poulet3!$F$99:$F$105,Poulet3!$F$109:$F$115,Poulet3!$F$119:$F$125,Poulet3!$F$131:$F$137</definedName>
    <definedName name="MehrereZeilen" localSheetId="0">Q!$E$8</definedName>
    <definedName name="Msg_Aktion" localSheetId="0">Q!$E$31</definedName>
    <definedName name="Msg_AnfangEnde" localSheetId="0">Q!$E$39</definedName>
    <definedName name="Msg_AnzZeilen" localSheetId="0">Q!$E$18</definedName>
    <definedName name="Msg_Ausg" localSheetId="0">Q!$E$29</definedName>
    <definedName name="Msg_Blatt" localSheetId="0">Q!$E$28</definedName>
    <definedName name="Msg_BlattZeilen" localSheetId="0">Q!$E$22</definedName>
    <definedName name="Msg_Daten" localSheetId="0">Q!$E$32</definedName>
    <definedName name="Msg_EineZeile" localSheetId="0">Q!$E$21</definedName>
    <definedName name="Msg_Hinweis" localSheetId="0">Q!$E$42</definedName>
    <definedName name="Msg_JahrAnfang" localSheetId="0">Q!$E$36</definedName>
    <definedName name="Msg_KeineZeilen" localSheetId="0">Q!$E$20</definedName>
    <definedName name="Msg_Kontrolljahr" localSheetId="0">Q!$E$40</definedName>
    <definedName name="Msg_LöschZeilen" localSheetId="0">Q!$E$23</definedName>
    <definedName name="Msg_Markieren" localSheetId="0">Q!$E$17</definedName>
    <definedName name="Msg_MarkierZeilen" localSheetId="0">Q!$E$24</definedName>
    <definedName name="Msg_Op" localSheetId="0">Q!$E$27</definedName>
    <definedName name="Msg_TagAnfang" localSheetId="0">Q!$E$37</definedName>
    <definedName name="Msg_TagEnde" localSheetId="0">Q!$E$38</definedName>
    <definedName name="Msg_Umtrieb" localSheetId="0">Q!$E$41</definedName>
    <definedName name="Msg_Ungültig" localSheetId="0">Q!$E$34</definedName>
    <definedName name="Msg_Verschieben" localSheetId="0">Q!$E$25</definedName>
    <definedName name="Msg_VerschiebZeilen" localSheetId="0">Q!$E$26</definedName>
    <definedName name="Msg_Version" localSheetId="0">Q!$E$30</definedName>
    <definedName name="Msg_Warnung" localSheetId="0">Q!$E$35</definedName>
    <definedName name="Msg_Weiter" localSheetId="0">Q!$E$33</definedName>
    <definedName name="Msg_ZeilenEinf" localSheetId="0">Q!$E$19</definedName>
    <definedName name="Msg_ZusätzlicheFuttermittelLöschen" localSheetId="0">Q!$E$45</definedName>
    <definedName name="ProgrammTyp" localSheetId="0">Q!$B$2</definedName>
    <definedName name="Seite" localSheetId="0">Q!$E$43</definedName>
    <definedName name="SeitenNo" localSheetId="1">Dblatt!$G$19:$G$59</definedName>
    <definedName name="SperrZellen" localSheetId="3">Inv!$E$14:$G$22,Inv!$I$14:$J$22</definedName>
    <definedName name="SperrZellenInvers" localSheetId="3">Inv!$E$19</definedName>
    <definedName name="SprachIdx" localSheetId="33">Textes!$F$2</definedName>
    <definedName name="Stall1" localSheetId="33">Textes!$A$251</definedName>
    <definedName name="Stall2" localSheetId="33">Textes!$A$252</definedName>
    <definedName name="Stall3" localSheetId="33">Textes!$A$253</definedName>
    <definedName name="StartZelle" localSheetId="4">A1a!$B$7</definedName>
    <definedName name="StartZelle" localSheetId="5">A1b!$B$7</definedName>
    <definedName name="StartZelle" localSheetId="6">A1c!$B$7</definedName>
    <definedName name="StartZelle" localSheetId="7">A1d!$B$7</definedName>
    <definedName name="StartZelle" localSheetId="8">A1e!$B$7</definedName>
    <definedName name="StartZelle" localSheetId="9">A2a!$B$9</definedName>
    <definedName name="StartZelle" localSheetId="10">A2b!$B$9</definedName>
    <definedName name="StartZelle" localSheetId="11">A2c!$B$9</definedName>
    <definedName name="StartZelle" localSheetId="12">A2d!$B$9</definedName>
    <definedName name="StartZelle" localSheetId="13">A2e!$B$9</definedName>
    <definedName name="StartZelle" localSheetId="14">'B1'!$B$14</definedName>
    <definedName name="StartZelle" localSheetId="15">'B2'!$B$14</definedName>
    <definedName name="StartZelle" localSheetId="16">'B3'!$B$14</definedName>
    <definedName name="StartZelle" localSheetId="17">'B4'!$B$14</definedName>
    <definedName name="StartZelle" localSheetId="22">'B5'!$B$12</definedName>
    <definedName name="StartZelle" localSheetId="24">'B6'!$B$12</definedName>
    <definedName name="StartZelle" localSheetId="18">'BX1'!$B$14</definedName>
    <definedName name="StartZelle" localSheetId="19">'BX2'!$B$14</definedName>
    <definedName name="StartZelle" localSheetId="20">'BX3'!$B$14</definedName>
    <definedName name="StartZelle" localSheetId="21">'BX4'!$B$14</definedName>
    <definedName name="StartZelle" localSheetId="23">'BX5'!$B$12</definedName>
    <definedName name="StartZelle" localSheetId="1">Dblatt!$A$1</definedName>
    <definedName name="StartZelle" localSheetId="25">Impex!$C$4</definedName>
    <definedName name="StartZelle" localSheetId="2">Info!$D$18</definedName>
    <definedName name="StartZelle" localSheetId="3">Inv!$D$4</definedName>
    <definedName name="StartZelle" localSheetId="26">Plausi!$E$6</definedName>
    <definedName name="StartZelle" localSheetId="30">Poulet_tot!$F$6</definedName>
    <definedName name="StartZelle" localSheetId="27">Poulet1!$B$17</definedName>
    <definedName name="StartZelle" localSheetId="28">Poulet2!$B$17</definedName>
    <definedName name="StartZelle" localSheetId="29">Poulet3!$B$17</definedName>
    <definedName name="StartZelle" localSheetId="31">Reserve!$A$2</definedName>
    <definedName name="StartZelle" localSheetId="33">Textes!$A$1</definedName>
    <definedName name="SuchSpalte" localSheetId="27">Poulet1!$C$16:$C$137</definedName>
    <definedName name="SuchSpalte" localSheetId="28">Poulet2!$C$16:$C$137</definedName>
    <definedName name="SuchSpalte" localSheetId="29">Poulet3!$C$16:$C$137</definedName>
    <definedName name="Tabellenblätter" localSheetId="0">Q!$E$12</definedName>
    <definedName name="TabZeilen" localSheetId="4">A1a!$6:$60</definedName>
    <definedName name="TabZeilen" localSheetId="5">A1b!$6:$60</definedName>
    <definedName name="TabZeilen" localSheetId="6">A1c!$6:$60</definedName>
    <definedName name="TabZeilen" localSheetId="7">A1d!$6:$60</definedName>
    <definedName name="TabZeilen" localSheetId="8">A1e!$6:$60</definedName>
    <definedName name="TabZeilen" localSheetId="9">A2a!$8:$60</definedName>
    <definedName name="TabZeilen" localSheetId="10">A2b!$8:$60</definedName>
    <definedName name="TabZeilen" localSheetId="11">A2c!$8:$60</definedName>
    <definedName name="TabZeilen" localSheetId="12">A2d!$8:$60</definedName>
    <definedName name="TabZeilen" localSheetId="13">A2e!$8:$60</definedName>
    <definedName name="TabZeilen" localSheetId="14">'B1'!$13:$57</definedName>
    <definedName name="TabZeilen" localSheetId="15">'B2'!$13:$57</definedName>
    <definedName name="TabZeilen" localSheetId="16">'B3'!$13:$57</definedName>
    <definedName name="TabZeilen" localSheetId="17">'B4'!$13:$57</definedName>
    <definedName name="TabZeilen" localSheetId="22">'B5'!$11:$57</definedName>
    <definedName name="TabZeilen" localSheetId="24">'B6'!$11:$57</definedName>
    <definedName name="TabZeilen" localSheetId="18">'BX1'!$13:$57</definedName>
    <definedName name="TabZeilen" localSheetId="19">'BX2'!$13:$57</definedName>
    <definedName name="TabZeilen" localSheetId="20">'BX3'!$13:$57</definedName>
    <definedName name="TabZeilen" localSheetId="21">'BX4'!$13:$57</definedName>
    <definedName name="TabZeilen" localSheetId="23">'BX5'!$11:$57</definedName>
    <definedName name="TabZeilen">Inv!$B$99</definedName>
    <definedName name="Transfer" localSheetId="27">Poulet1!$B$18:$B$136</definedName>
    <definedName name="Transfer" localSheetId="28">Poulet2!$B$18:$B$89</definedName>
    <definedName name="Transfer" localSheetId="29">Poulet3!$B$18:$B$89</definedName>
    <definedName name="TxtAusbeute" localSheetId="9">A2a!$F$2</definedName>
    <definedName name="TxtAusbeute" localSheetId="10">A2b!$F$2</definedName>
    <definedName name="TxtAusbeute" localSheetId="11">A2c!$F$2</definedName>
    <definedName name="TxtAusbeute" localSheetId="12">A2d!$F$2</definedName>
    <definedName name="TxtAusbeute" localSheetId="13">A2e!$F$2</definedName>
    <definedName name="TxtAusbeute" localSheetId="33">Textes!$A$87</definedName>
    <definedName name="VersionsDatum" localSheetId="0">Q!$D$2</definedName>
    <definedName name="VersionsNummer" localSheetId="0">Q!$C$2</definedName>
    <definedName name="Zeilen" localSheetId="0">Q!$E$6</definedName>
    <definedName name="ZeilenAusschneiden" localSheetId="0">Q!$E$10</definedName>
    <definedName name="ZeilenEinfügen" localSheetId="0">Q!$E$7</definedName>
    <definedName name="ZeilenLöschen" localSheetId="0">Q!$E$9</definedName>
    <definedName name="ZeilenVerschieben" localSheetId="0">Q!$E$11</definedName>
  </definedNames>
  <calcPr calcId="145621"/>
</workbook>
</file>

<file path=xl/calcChain.xml><?xml version="1.0" encoding="utf-8"?>
<calcChain xmlns="http://schemas.openxmlformats.org/spreadsheetml/2006/main">
  <c r="A67" i="1" l="1"/>
  <c r="A194" i="21"/>
  <c r="K1" i="19" s="1"/>
  <c r="A62" i="1" s="1"/>
  <c r="A116" i="21"/>
  <c r="L1" i="18" s="1"/>
  <c r="A61" i="1" s="1"/>
  <c r="A101" i="21"/>
  <c r="A100" i="21"/>
  <c r="I1" i="15" s="1"/>
  <c r="A57" i="1" s="1"/>
  <c r="I1" i="35"/>
  <c r="A58" i="1" s="1"/>
  <c r="I1" i="14"/>
  <c r="A56" i="1" s="1"/>
  <c r="I1" i="13"/>
  <c r="A55" i="1" s="1"/>
  <c r="A86" i="21"/>
  <c r="A76" i="21"/>
  <c r="G1" i="7"/>
  <c r="A49" i="1" s="1"/>
  <c r="G1" i="6"/>
  <c r="A48" i="1" s="1"/>
  <c r="G1" i="5"/>
  <c r="A47" i="1" s="1"/>
  <c r="G1" i="4"/>
  <c r="A46" i="1" s="1"/>
  <c r="G1" i="3"/>
  <c r="A45" i="1" s="1"/>
  <c r="A8" i="21"/>
  <c r="K1" i="2"/>
  <c r="A44" i="1" s="1"/>
  <c r="A349" i="21"/>
  <c r="L1" i="42" s="1"/>
  <c r="A43" i="1" s="1"/>
  <c r="A316" i="21"/>
  <c r="H1" i="34"/>
  <c r="A66" i="1" s="1"/>
  <c r="A253" i="21"/>
  <c r="L2" i="37" s="1"/>
  <c r="A252" i="21"/>
  <c r="L2" i="36"/>
  <c r="A64" i="1" s="1"/>
  <c r="A251" i="21"/>
  <c r="L2" i="27" s="1"/>
  <c r="A35" i="1"/>
  <c r="A87" i="21"/>
  <c r="A10" i="21"/>
  <c r="C5" i="2"/>
  <c r="A9" i="21"/>
  <c r="C4" i="2"/>
  <c r="B2" i="3" s="1"/>
  <c r="B2" i="16"/>
  <c r="B2" i="35"/>
  <c r="B3" i="10"/>
  <c r="B2" i="5"/>
  <c r="A36" i="21"/>
  <c r="T5" i="21" s="1"/>
  <c r="T2" i="21"/>
  <c r="A37" i="21"/>
  <c r="T6" i="21" s="1"/>
  <c r="A38" i="21"/>
  <c r="T7" i="21"/>
  <c r="A39" i="21"/>
  <c r="T8" i="21" s="1"/>
  <c r="A40" i="21"/>
  <c r="T10" i="21"/>
  <c r="A35" i="21"/>
  <c r="T4" i="21" s="1"/>
  <c r="E23" i="2"/>
  <c r="K15" i="2"/>
  <c r="K16" i="2"/>
  <c r="K17" i="2"/>
  <c r="K18" i="2"/>
  <c r="K19" i="2"/>
  <c r="K20" i="2"/>
  <c r="K21" i="2"/>
  <c r="K22" i="2"/>
  <c r="K14" i="2"/>
  <c r="A427" i="21"/>
  <c r="A340" i="21"/>
  <c r="B16" i="38" s="1"/>
  <c r="I1" i="46"/>
  <c r="I1" i="45"/>
  <c r="I1" i="44"/>
  <c r="I1" i="43"/>
  <c r="A13" i="21"/>
  <c r="C7" i="2" s="1"/>
  <c r="B6" i="18" s="1"/>
  <c r="X2" i="21"/>
  <c r="Q7" i="21" s="1"/>
  <c r="B18" i="2" s="1"/>
  <c r="A43" i="21"/>
  <c r="X5" i="21" s="1"/>
  <c r="Z2" i="21"/>
  <c r="R5" i="21" s="1"/>
  <c r="C16" i="2" s="1"/>
  <c r="A44" i="21"/>
  <c r="X6" i="21"/>
  <c r="A42" i="21"/>
  <c r="X4" i="21"/>
  <c r="F6" i="27"/>
  <c r="I6" i="27"/>
  <c r="O23" i="27"/>
  <c r="P23" i="27" s="1"/>
  <c r="H18" i="27"/>
  <c r="H19" i="27"/>
  <c r="J19" i="27" s="1"/>
  <c r="H20" i="27"/>
  <c r="H21" i="27"/>
  <c r="H22" i="27"/>
  <c r="O33" i="27"/>
  <c r="H28" i="27"/>
  <c r="H29" i="27"/>
  <c r="H30" i="27"/>
  <c r="J30" i="27" s="1"/>
  <c r="H31" i="27"/>
  <c r="H32" i="27"/>
  <c r="J32" i="27"/>
  <c r="O43" i="27"/>
  <c r="H38" i="27"/>
  <c r="H39" i="27"/>
  <c r="J39" i="27"/>
  <c r="H40" i="27"/>
  <c r="H41" i="27"/>
  <c r="J41" i="27" s="1"/>
  <c r="H42" i="27"/>
  <c r="O53" i="27"/>
  <c r="H48" i="27"/>
  <c r="H49" i="27"/>
  <c r="H50" i="27"/>
  <c r="H51" i="27"/>
  <c r="H52" i="27"/>
  <c r="O63" i="27"/>
  <c r="P63" i="27" s="1"/>
  <c r="H58" i="27"/>
  <c r="H59" i="27"/>
  <c r="J59" i="27" s="1"/>
  <c r="H60" i="27"/>
  <c r="H61" i="27"/>
  <c r="J61" i="27"/>
  <c r="H62" i="27"/>
  <c r="H64" i="27"/>
  <c r="O75" i="27"/>
  <c r="H70" i="27"/>
  <c r="H71" i="27"/>
  <c r="H72" i="27"/>
  <c r="J72" i="27" s="1"/>
  <c r="H73" i="27"/>
  <c r="H74" i="27"/>
  <c r="J74" i="27"/>
  <c r="O85" i="27"/>
  <c r="H80" i="27"/>
  <c r="H86" i="27" s="1"/>
  <c r="H81" i="27"/>
  <c r="J81" i="27"/>
  <c r="H82" i="27"/>
  <c r="H83" i="27"/>
  <c r="J83" i="27" s="1"/>
  <c r="H84" i="27"/>
  <c r="O95" i="27"/>
  <c r="H90" i="27"/>
  <c r="H91" i="27"/>
  <c r="H92" i="27"/>
  <c r="H93" i="27"/>
  <c r="H94" i="27"/>
  <c r="O105" i="27"/>
  <c r="P105" i="27" s="1"/>
  <c r="H100" i="27"/>
  <c r="H106" i="27" s="1"/>
  <c r="H101" i="27"/>
  <c r="J101" i="27"/>
  <c r="H102" i="27"/>
  <c r="H103" i="27"/>
  <c r="J103" i="27" s="1"/>
  <c r="H104" i="27"/>
  <c r="O115" i="27"/>
  <c r="H110" i="27"/>
  <c r="H111" i="27"/>
  <c r="H112" i="27"/>
  <c r="J112" i="27"/>
  <c r="H113" i="27"/>
  <c r="H114" i="27"/>
  <c r="J114" i="27" s="1"/>
  <c r="O125" i="27"/>
  <c r="H120" i="27"/>
  <c r="H121" i="27"/>
  <c r="J121" i="27" s="1"/>
  <c r="H122" i="27"/>
  <c r="H123" i="27"/>
  <c r="J123" i="27"/>
  <c r="H124" i="27"/>
  <c r="O137" i="27"/>
  <c r="H132" i="27"/>
  <c r="H133" i="27"/>
  <c r="J133" i="27" s="1"/>
  <c r="H134" i="27"/>
  <c r="H135" i="27"/>
  <c r="J135" i="27" s="1"/>
  <c r="H136" i="27"/>
  <c r="J136" i="27"/>
  <c r="J134" i="27"/>
  <c r="D137" i="27"/>
  <c r="J137" i="27" s="1"/>
  <c r="J120" i="27"/>
  <c r="J122" i="27"/>
  <c r="J124" i="27"/>
  <c r="D125" i="27"/>
  <c r="J125" i="27"/>
  <c r="J111" i="27"/>
  <c r="J113" i="27"/>
  <c r="D115" i="27"/>
  <c r="J115" i="27"/>
  <c r="J100" i="27"/>
  <c r="J102" i="27"/>
  <c r="J104" i="27"/>
  <c r="D105" i="27"/>
  <c r="J105" i="27" s="1"/>
  <c r="J90" i="27"/>
  <c r="J91" i="27"/>
  <c r="J92" i="27"/>
  <c r="J93" i="27"/>
  <c r="J94" i="27"/>
  <c r="D95" i="27"/>
  <c r="J95" i="27"/>
  <c r="J80" i="27"/>
  <c r="J82" i="27"/>
  <c r="J84" i="27"/>
  <c r="D85" i="27"/>
  <c r="J85" i="27" s="1"/>
  <c r="J71" i="27"/>
  <c r="J73" i="27"/>
  <c r="D75" i="27"/>
  <c r="J75" i="27" s="1"/>
  <c r="J58" i="27"/>
  <c r="J60" i="27"/>
  <c r="J62" i="27"/>
  <c r="D63" i="27"/>
  <c r="J63" i="27"/>
  <c r="J48" i="27"/>
  <c r="J49" i="27"/>
  <c r="J50" i="27"/>
  <c r="J51" i="27"/>
  <c r="J52" i="27"/>
  <c r="D53" i="27"/>
  <c r="J53" i="27" s="1"/>
  <c r="J38" i="27"/>
  <c r="J40" i="27"/>
  <c r="J42" i="27"/>
  <c r="D43" i="27"/>
  <c r="J43" i="27"/>
  <c r="J29" i="27"/>
  <c r="J31" i="27"/>
  <c r="D33" i="27"/>
  <c r="J33" i="27"/>
  <c r="J18" i="27"/>
  <c r="J20" i="27"/>
  <c r="J22" i="27"/>
  <c r="D23" i="27"/>
  <c r="J23" i="27" s="1"/>
  <c r="F6" i="36"/>
  <c r="I6" i="36"/>
  <c r="O23" i="36"/>
  <c r="H18" i="36"/>
  <c r="H19" i="36"/>
  <c r="J19" i="36" s="1"/>
  <c r="H20" i="36"/>
  <c r="H21" i="36"/>
  <c r="J21" i="36"/>
  <c r="H22" i="36"/>
  <c r="O33" i="36"/>
  <c r="H28" i="36"/>
  <c r="H29" i="36"/>
  <c r="H30" i="36"/>
  <c r="J30" i="36" s="1"/>
  <c r="H31" i="36"/>
  <c r="H32" i="36"/>
  <c r="J32" i="36"/>
  <c r="O43" i="36"/>
  <c r="H38" i="36"/>
  <c r="H44" i="36" s="1"/>
  <c r="H39" i="36"/>
  <c r="J39" i="36"/>
  <c r="H40" i="36"/>
  <c r="H41" i="36"/>
  <c r="J41" i="36" s="1"/>
  <c r="H42" i="36"/>
  <c r="O53" i="36"/>
  <c r="H48" i="36"/>
  <c r="H49" i="36"/>
  <c r="H50" i="36"/>
  <c r="H51" i="36"/>
  <c r="H52" i="36"/>
  <c r="O63" i="36"/>
  <c r="H58" i="36"/>
  <c r="H59" i="36"/>
  <c r="J59" i="36" s="1"/>
  <c r="H60" i="36"/>
  <c r="H61" i="36"/>
  <c r="J61" i="36"/>
  <c r="H62" i="36"/>
  <c r="O75" i="36"/>
  <c r="H70" i="36"/>
  <c r="H71" i="36"/>
  <c r="H72" i="36"/>
  <c r="J72" i="36" s="1"/>
  <c r="H73" i="36"/>
  <c r="H74" i="36"/>
  <c r="J74" i="36" s="1"/>
  <c r="O85" i="36"/>
  <c r="H80" i="36"/>
  <c r="H81" i="36"/>
  <c r="J81" i="36" s="1"/>
  <c r="H82" i="36"/>
  <c r="H83" i="36"/>
  <c r="J83" i="36" s="1"/>
  <c r="H84" i="36"/>
  <c r="O95" i="36"/>
  <c r="H90" i="36"/>
  <c r="H91" i="36"/>
  <c r="H92" i="36"/>
  <c r="H93" i="36"/>
  <c r="H94" i="36"/>
  <c r="O105" i="36"/>
  <c r="P105" i="36"/>
  <c r="H100" i="36"/>
  <c r="H101" i="36"/>
  <c r="J101" i="36" s="1"/>
  <c r="H102" i="36"/>
  <c r="H103" i="36"/>
  <c r="H104" i="36"/>
  <c r="O115" i="36"/>
  <c r="H110" i="36"/>
  <c r="H111" i="36"/>
  <c r="H112" i="36"/>
  <c r="J112" i="36" s="1"/>
  <c r="H113" i="36"/>
  <c r="H114" i="36"/>
  <c r="J114" i="36"/>
  <c r="O125" i="36"/>
  <c r="H120" i="36"/>
  <c r="H126" i="36" s="1"/>
  <c r="H121" i="36"/>
  <c r="J121" i="36"/>
  <c r="H122" i="36"/>
  <c r="H123" i="36"/>
  <c r="J123" i="36" s="1"/>
  <c r="H124" i="36"/>
  <c r="O137" i="36"/>
  <c r="H132" i="36"/>
  <c r="H133" i="36"/>
  <c r="H134" i="36"/>
  <c r="J134" i="36"/>
  <c r="H135" i="36"/>
  <c r="H136" i="36"/>
  <c r="J132" i="36"/>
  <c r="J133" i="36"/>
  <c r="J135" i="36"/>
  <c r="J136" i="36"/>
  <c r="D137" i="36"/>
  <c r="J137" i="36"/>
  <c r="J122" i="36"/>
  <c r="J124" i="36"/>
  <c r="D125" i="36"/>
  <c r="J125" i="36" s="1"/>
  <c r="J111" i="36"/>
  <c r="J113" i="36"/>
  <c r="D115" i="36"/>
  <c r="J115" i="36" s="1"/>
  <c r="J100" i="36"/>
  <c r="J102" i="36"/>
  <c r="J104" i="36"/>
  <c r="D105" i="36"/>
  <c r="J105" i="36"/>
  <c r="J90" i="36"/>
  <c r="J91" i="36"/>
  <c r="J92" i="36"/>
  <c r="J93" i="36"/>
  <c r="J94" i="36"/>
  <c r="D95" i="36"/>
  <c r="J95" i="36" s="1"/>
  <c r="J80" i="36"/>
  <c r="J82" i="36"/>
  <c r="J84" i="36"/>
  <c r="D85" i="36"/>
  <c r="J85" i="36"/>
  <c r="J71" i="36"/>
  <c r="J73" i="36"/>
  <c r="D75" i="36"/>
  <c r="J75" i="36"/>
  <c r="J58" i="36"/>
  <c r="J60" i="36"/>
  <c r="J62" i="36"/>
  <c r="D63" i="36"/>
  <c r="J63" i="36" s="1"/>
  <c r="J48" i="36"/>
  <c r="J49" i="36"/>
  <c r="J50" i="36"/>
  <c r="J51" i="36"/>
  <c r="J52" i="36"/>
  <c r="D53" i="36"/>
  <c r="J53" i="36"/>
  <c r="J38" i="36"/>
  <c r="J40" i="36"/>
  <c r="J42" i="36"/>
  <c r="D43" i="36"/>
  <c r="J43" i="36" s="1"/>
  <c r="J29" i="36"/>
  <c r="J31" i="36"/>
  <c r="D33" i="36"/>
  <c r="J33" i="36" s="1"/>
  <c r="J18" i="36"/>
  <c r="J20" i="36"/>
  <c r="J22" i="36"/>
  <c r="D23" i="36"/>
  <c r="J23" i="36"/>
  <c r="F6" i="37"/>
  <c r="I6" i="37"/>
  <c r="O23" i="37"/>
  <c r="H18" i="37"/>
  <c r="H24" i="37" s="1"/>
  <c r="H19" i="37"/>
  <c r="H20" i="37"/>
  <c r="H21" i="37"/>
  <c r="H22" i="37"/>
  <c r="O33" i="37"/>
  <c r="H28" i="37"/>
  <c r="H29" i="37"/>
  <c r="H30" i="37"/>
  <c r="H31" i="37"/>
  <c r="H32" i="37"/>
  <c r="O43" i="37"/>
  <c r="H38" i="37"/>
  <c r="H39" i="37"/>
  <c r="H44" i="37" s="1"/>
  <c r="H40" i="37"/>
  <c r="H41" i="37"/>
  <c r="H42" i="37"/>
  <c r="O53" i="37"/>
  <c r="H48" i="37"/>
  <c r="H49" i="37"/>
  <c r="H50" i="37"/>
  <c r="H51" i="37"/>
  <c r="H52" i="37"/>
  <c r="O63" i="37"/>
  <c r="H58" i="37"/>
  <c r="H59" i="37"/>
  <c r="H60" i="37"/>
  <c r="J60" i="37" s="1"/>
  <c r="H61" i="37"/>
  <c r="H62" i="37"/>
  <c r="J62" i="37"/>
  <c r="O75" i="37"/>
  <c r="H70" i="37"/>
  <c r="H71" i="37"/>
  <c r="H72" i="37"/>
  <c r="H73" i="37"/>
  <c r="H76" i="37"/>
  <c r="H74" i="37"/>
  <c r="O85" i="37"/>
  <c r="H80" i="37"/>
  <c r="H81" i="37"/>
  <c r="H82" i="37"/>
  <c r="J82" i="37" s="1"/>
  <c r="H83" i="37"/>
  <c r="H84" i="37"/>
  <c r="J84" i="37" s="1"/>
  <c r="O95" i="37"/>
  <c r="H90" i="37"/>
  <c r="H91" i="37"/>
  <c r="J91" i="37" s="1"/>
  <c r="H92" i="37"/>
  <c r="H93" i="37"/>
  <c r="H96" i="37" s="1"/>
  <c r="H94" i="37"/>
  <c r="O105" i="37"/>
  <c r="H100" i="37"/>
  <c r="H101" i="37"/>
  <c r="H102" i="37"/>
  <c r="J102" i="37" s="1"/>
  <c r="H103" i="37"/>
  <c r="H104" i="37"/>
  <c r="J104" i="37" s="1"/>
  <c r="O115" i="37"/>
  <c r="H110" i="37"/>
  <c r="H111" i="37"/>
  <c r="H112" i="37"/>
  <c r="J112" i="37" s="1"/>
  <c r="H113" i="37"/>
  <c r="H116" i="37" s="1"/>
  <c r="H114" i="37"/>
  <c r="O125" i="37"/>
  <c r="H120" i="37"/>
  <c r="H121" i="37"/>
  <c r="H122" i="37"/>
  <c r="J122" i="37" s="1"/>
  <c r="H123" i="37"/>
  <c r="H124" i="37"/>
  <c r="J124" i="37" s="1"/>
  <c r="O137" i="37"/>
  <c r="H132" i="37"/>
  <c r="J132" i="37" s="1"/>
  <c r="H133" i="37"/>
  <c r="J133" i="37" s="1"/>
  <c r="H134" i="37"/>
  <c r="H135" i="37"/>
  <c r="H138" i="37"/>
  <c r="H136" i="37"/>
  <c r="J136" i="37" s="1"/>
  <c r="J134" i="37"/>
  <c r="J135" i="37"/>
  <c r="D137" i="37"/>
  <c r="J137" i="37"/>
  <c r="J121" i="37"/>
  <c r="J123" i="37"/>
  <c r="D125" i="37"/>
  <c r="J125" i="37"/>
  <c r="J110" i="37"/>
  <c r="J111" i="37"/>
  <c r="J113" i="37"/>
  <c r="J114" i="37"/>
  <c r="D115" i="37"/>
  <c r="J115" i="37" s="1"/>
  <c r="J101" i="37"/>
  <c r="J103" i="37"/>
  <c r="D105" i="37"/>
  <c r="J105" i="37" s="1"/>
  <c r="J90" i="37"/>
  <c r="J92" i="37"/>
  <c r="J93" i="37"/>
  <c r="J94" i="37"/>
  <c r="D95" i="37"/>
  <c r="J95" i="37" s="1"/>
  <c r="J81" i="37"/>
  <c r="J83" i="37"/>
  <c r="D85" i="37"/>
  <c r="J85" i="37" s="1"/>
  <c r="J70" i="37"/>
  <c r="J71" i="37"/>
  <c r="J72" i="37"/>
  <c r="J73" i="37"/>
  <c r="J74" i="37"/>
  <c r="D75" i="37"/>
  <c r="J75" i="37" s="1"/>
  <c r="K75" i="37" s="1"/>
  <c r="J59" i="37"/>
  <c r="J61" i="37"/>
  <c r="D63" i="37"/>
  <c r="J63" i="37" s="1"/>
  <c r="J48" i="37"/>
  <c r="J49" i="37"/>
  <c r="J50" i="37"/>
  <c r="J52" i="37"/>
  <c r="D53" i="37"/>
  <c r="J53" i="37" s="1"/>
  <c r="J38" i="37"/>
  <c r="K43" i="37" s="1"/>
  <c r="J39" i="37"/>
  <c r="J40" i="37"/>
  <c r="J41" i="37"/>
  <c r="J42" i="37"/>
  <c r="D43" i="37"/>
  <c r="J43" i="37" s="1"/>
  <c r="J28" i="37"/>
  <c r="J29" i="37"/>
  <c r="J31" i="37"/>
  <c r="J32" i="37"/>
  <c r="D33" i="37"/>
  <c r="J33" i="37" s="1"/>
  <c r="J18" i="37"/>
  <c r="J20" i="37"/>
  <c r="J21" i="37"/>
  <c r="J22" i="37"/>
  <c r="D23" i="37"/>
  <c r="J23" i="37" s="1"/>
  <c r="H14" i="2"/>
  <c r="O14" i="2" s="1"/>
  <c r="H15" i="2"/>
  <c r="O15" i="2" s="1"/>
  <c r="Q15" i="2" s="1"/>
  <c r="H16" i="2"/>
  <c r="O16" i="2" s="1"/>
  <c r="Q16" i="2" s="1"/>
  <c r="H17" i="2"/>
  <c r="O17" i="2" s="1"/>
  <c r="Q17" i="2" s="1"/>
  <c r="H18" i="2"/>
  <c r="O18" i="2"/>
  <c r="Q18" i="2" s="1"/>
  <c r="H19" i="2"/>
  <c r="O19" i="2" s="1"/>
  <c r="Q19" i="2" s="1"/>
  <c r="H20" i="2"/>
  <c r="O20" i="2" s="1"/>
  <c r="Q20" i="2" s="1"/>
  <c r="H21" i="2"/>
  <c r="O21" i="2" s="1"/>
  <c r="Q21" i="2" s="1"/>
  <c r="H22" i="2"/>
  <c r="O22" i="2"/>
  <c r="Q22" i="2" s="1"/>
  <c r="S14" i="2"/>
  <c r="S15" i="2"/>
  <c r="U15" i="2"/>
  <c r="S16" i="2"/>
  <c r="S17" i="2"/>
  <c r="S18" i="2"/>
  <c r="S19" i="2"/>
  <c r="U19" i="2" s="1"/>
  <c r="S20" i="2"/>
  <c r="S21" i="2"/>
  <c r="U21" i="2"/>
  <c r="S22" i="2"/>
  <c r="F12" i="18"/>
  <c r="G12" i="18"/>
  <c r="U16" i="2"/>
  <c r="U17" i="2"/>
  <c r="U18" i="2"/>
  <c r="U20" i="2"/>
  <c r="U22" i="2"/>
  <c r="F13" i="18"/>
  <c r="J4" i="8"/>
  <c r="J10" i="8" s="1"/>
  <c r="J13" i="8"/>
  <c r="J18" i="8"/>
  <c r="J23" i="8"/>
  <c r="J29" i="8"/>
  <c r="J34" i="8"/>
  <c r="J39" i="8"/>
  <c r="J45" i="8"/>
  <c r="J50" i="8"/>
  <c r="J54" i="8"/>
  <c r="J58" i="8"/>
  <c r="J4" i="9"/>
  <c r="J17" i="9" s="1"/>
  <c r="J11" i="9"/>
  <c r="J13" i="9"/>
  <c r="J18" i="9"/>
  <c r="J22" i="9"/>
  <c r="J23" i="9"/>
  <c r="J29" i="9"/>
  <c r="J33" i="9"/>
  <c r="J34" i="9"/>
  <c r="J38" i="9"/>
  <c r="J39" i="9"/>
  <c r="J43" i="9"/>
  <c r="J45" i="9"/>
  <c r="J49" i="9"/>
  <c r="J50" i="9"/>
  <c r="J54" i="9"/>
  <c r="J55" i="9"/>
  <c r="J59" i="9"/>
  <c r="J4" i="10"/>
  <c r="J16" i="10" s="1"/>
  <c r="J11" i="10"/>
  <c r="J12" i="10"/>
  <c r="J17" i="10"/>
  <c r="J21" i="10"/>
  <c r="J23" i="10"/>
  <c r="J28" i="10"/>
  <c r="J32" i="10"/>
  <c r="J33" i="10"/>
  <c r="J39" i="10"/>
  <c r="J43" i="10"/>
  <c r="J44" i="10"/>
  <c r="J49" i="10"/>
  <c r="J53" i="10"/>
  <c r="J55" i="10"/>
  <c r="J59" i="10"/>
  <c r="J60" i="10"/>
  <c r="J4" i="11"/>
  <c r="J10" i="11" s="1"/>
  <c r="J13" i="11"/>
  <c r="J21" i="11"/>
  <c r="J27" i="11"/>
  <c r="J34" i="11"/>
  <c r="J42" i="11"/>
  <c r="J49" i="11"/>
  <c r="J55" i="11"/>
  <c r="J4" i="12"/>
  <c r="J11" i="12" s="1"/>
  <c r="J8" i="12"/>
  <c r="J9" i="12"/>
  <c r="J12" i="12"/>
  <c r="J15" i="12"/>
  <c r="J16" i="12"/>
  <c r="J20" i="12"/>
  <c r="J21" i="12"/>
  <c r="J23" i="12"/>
  <c r="J27" i="12"/>
  <c r="J28" i="12"/>
  <c r="J31" i="12"/>
  <c r="J33" i="12"/>
  <c r="J36" i="12"/>
  <c r="J37" i="12"/>
  <c r="J41" i="12"/>
  <c r="J43" i="12"/>
  <c r="J44" i="12"/>
  <c r="J48" i="12"/>
  <c r="J49" i="12"/>
  <c r="J52" i="12"/>
  <c r="J54" i="12"/>
  <c r="J56" i="12"/>
  <c r="J57" i="12"/>
  <c r="J60" i="12"/>
  <c r="K5" i="18"/>
  <c r="D11" i="38"/>
  <c r="K4" i="18"/>
  <c r="D10" i="38"/>
  <c r="F12" i="34"/>
  <c r="E10" i="37"/>
  <c r="E10" i="36"/>
  <c r="E10" i="27"/>
  <c r="D6" i="18"/>
  <c r="D7" i="38"/>
  <c r="F14" i="34"/>
  <c r="E11" i="37"/>
  <c r="E11" i="36"/>
  <c r="E11" i="27"/>
  <c r="D8" i="38"/>
  <c r="D7" i="18"/>
  <c r="F10" i="34"/>
  <c r="E9" i="37"/>
  <c r="E9" i="36"/>
  <c r="E9" i="27"/>
  <c r="D5" i="18"/>
  <c r="D6" i="38"/>
  <c r="F8" i="34"/>
  <c r="E8" i="37"/>
  <c r="E8" i="36"/>
  <c r="E8" i="27"/>
  <c r="D4" i="18"/>
  <c r="G5" i="21"/>
  <c r="G3" i="21"/>
  <c r="R3" i="2"/>
  <c r="E1" i="2" s="1"/>
  <c r="A49" i="21"/>
  <c r="AB7" i="21"/>
  <c r="A26" i="21"/>
  <c r="E13" i="2" s="1"/>
  <c r="A25" i="21"/>
  <c r="E11" i="2"/>
  <c r="A29" i="21"/>
  <c r="E12" i="2" s="1"/>
  <c r="A12" i="21"/>
  <c r="C8" i="2"/>
  <c r="A18" i="21"/>
  <c r="H6" i="2" s="1"/>
  <c r="AB2" i="21"/>
  <c r="V2" i="21"/>
  <c r="A14" i="21"/>
  <c r="A11" i="21"/>
  <c r="C6" i="2"/>
  <c r="A24" i="21"/>
  <c r="B12" i="2" s="1"/>
  <c r="V6" i="21"/>
  <c r="V5" i="21"/>
  <c r="A50" i="21"/>
  <c r="AB9" i="21" s="1"/>
  <c r="A48" i="21"/>
  <c r="AB5" i="21"/>
  <c r="AB6" i="21"/>
  <c r="AB4" i="21"/>
  <c r="A47" i="21"/>
  <c r="Z9" i="21"/>
  <c r="A46" i="21"/>
  <c r="Z7" i="21" s="1"/>
  <c r="A45" i="21"/>
  <c r="Z5" i="21"/>
  <c r="Z8" i="21"/>
  <c r="Z4" i="21"/>
  <c r="V4" i="21"/>
  <c r="A34" i="21"/>
  <c r="X3" i="21" s="1"/>
  <c r="R3" i="21"/>
  <c r="A33" i="21"/>
  <c r="Q3" i="21" s="1"/>
  <c r="AB3" i="21"/>
  <c r="AA3" i="21"/>
  <c r="Y3" i="21"/>
  <c r="U3" i="21"/>
  <c r="T3" i="21"/>
  <c r="A41" i="21"/>
  <c r="AA1" i="21"/>
  <c r="Y1" i="21"/>
  <c r="W1" i="21"/>
  <c r="U1" i="21"/>
  <c r="S1" i="21"/>
  <c r="C362" i="21"/>
  <c r="A362" i="21" s="1"/>
  <c r="G16" i="42" s="1"/>
  <c r="B362" i="21"/>
  <c r="F6" i="43"/>
  <c r="D60" i="18"/>
  <c r="C60" i="18"/>
  <c r="E45" i="1"/>
  <c r="K3" i="21"/>
  <c r="A4" i="21"/>
  <c r="G4" i="21"/>
  <c r="K4" i="21"/>
  <c r="A5" i="21"/>
  <c r="K5" i="21"/>
  <c r="B6" i="21"/>
  <c r="B7" i="21"/>
  <c r="C6" i="21"/>
  <c r="A6" i="21" s="1"/>
  <c r="G26" i="2" s="1"/>
  <c r="G6" i="21"/>
  <c r="G7" i="21"/>
  <c r="B8" i="27"/>
  <c r="B10" i="37"/>
  <c r="A15" i="21"/>
  <c r="H4" i="2" s="1"/>
  <c r="I4" i="18" s="1"/>
  <c r="A16" i="21"/>
  <c r="H7" i="2"/>
  <c r="I5" i="18" s="1"/>
  <c r="A17" i="21"/>
  <c r="A19" i="21"/>
  <c r="B6" i="27"/>
  <c r="A20" i="21"/>
  <c r="A21" i="21"/>
  <c r="A22" i="21"/>
  <c r="J6" i="27"/>
  <c r="A23" i="21"/>
  <c r="A27" i="21"/>
  <c r="F11" i="2"/>
  <c r="A28" i="21"/>
  <c r="I11" i="2" s="1"/>
  <c r="A30" i="21"/>
  <c r="A31" i="21"/>
  <c r="G13" i="2"/>
  <c r="J13" i="2" s="1"/>
  <c r="A32" i="21"/>
  <c r="H13" i="2"/>
  <c r="K13" i="2"/>
  <c r="A51" i="21"/>
  <c r="B23" i="2" s="1"/>
  <c r="A52" i="21"/>
  <c r="A53" i="21"/>
  <c r="B26" i="2" s="1"/>
  <c r="A54" i="21"/>
  <c r="A55" i="21"/>
  <c r="A56" i="21"/>
  <c r="A57" i="21"/>
  <c r="A58" i="21"/>
  <c r="A59" i="21"/>
  <c r="A60" i="21"/>
  <c r="A61" i="21"/>
  <c r="A62" i="21"/>
  <c r="F60" i="2"/>
  <c r="A63" i="21"/>
  <c r="J61" i="2" s="1"/>
  <c r="A64" i="21"/>
  <c r="A65" i="21"/>
  <c r="A66" i="21"/>
  <c r="B74" i="2"/>
  <c r="A67" i="21"/>
  <c r="B75" i="2"/>
  <c r="H4" i="17"/>
  <c r="A68" i="21"/>
  <c r="A69" i="21"/>
  <c r="B72" i="2"/>
  <c r="D4" i="17"/>
  <c r="A70" i="21"/>
  <c r="A71" i="21"/>
  <c r="A72" i="21"/>
  <c r="A73" i="21"/>
  <c r="B78" i="2"/>
  <c r="A74" i="21"/>
  <c r="A75" i="21"/>
  <c r="A77" i="21"/>
  <c r="C4" i="7"/>
  <c r="A79" i="21"/>
  <c r="A78" i="21"/>
  <c r="A80" i="21"/>
  <c r="A81" i="21"/>
  <c r="C5" i="6" s="1"/>
  <c r="F5" i="6"/>
  <c r="A82" i="21"/>
  <c r="A83" i="21"/>
  <c r="A84" i="21"/>
  <c r="A85" i="21"/>
  <c r="A88" i="21"/>
  <c r="A89" i="21"/>
  <c r="B4" i="12" s="1"/>
  <c r="A90" i="21"/>
  <c r="A91" i="21"/>
  <c r="A92" i="21"/>
  <c r="A93" i="21"/>
  <c r="B7" i="12"/>
  <c r="E7" i="12"/>
  <c r="A94" i="21"/>
  <c r="A95" i="21"/>
  <c r="A96" i="21"/>
  <c r="A97" i="21"/>
  <c r="A98" i="21"/>
  <c r="A99" i="21"/>
  <c r="A102" i="21"/>
  <c r="A103" i="21"/>
  <c r="A104" i="21"/>
  <c r="B12" i="43" s="1"/>
  <c r="A105" i="21"/>
  <c r="C12" i="13"/>
  <c r="A106" i="21"/>
  <c r="A107" i="21"/>
  <c r="A108" i="21"/>
  <c r="A109" i="21"/>
  <c r="B60" i="13"/>
  <c r="A110" i="21"/>
  <c r="A111" i="21"/>
  <c r="A112" i="21"/>
  <c r="C10" i="47"/>
  <c r="E10" i="47" s="1"/>
  <c r="G10" i="47" s="1"/>
  <c r="I10" i="47" s="1"/>
  <c r="A113" i="21"/>
  <c r="B6" i="47" s="1"/>
  <c r="D6" i="47"/>
  <c r="F6" i="47" s="1"/>
  <c r="H6" i="47" s="1"/>
  <c r="A114" i="21"/>
  <c r="A115" i="21"/>
  <c r="G10" i="17" s="1"/>
  <c r="I10" i="17" s="1"/>
  <c r="A117" i="21"/>
  <c r="P7" i="18"/>
  <c r="A118" i="21"/>
  <c r="B9" i="18"/>
  <c r="A119" i="21"/>
  <c r="D11" i="18"/>
  <c r="A120" i="21"/>
  <c r="A121" i="21"/>
  <c r="F11" i="18" s="1"/>
  <c r="A122" i="21"/>
  <c r="A123" i="21"/>
  <c r="H11" i="18" s="1"/>
  <c r="A124" i="21"/>
  <c r="I11" i="18"/>
  <c r="A125" i="21"/>
  <c r="J11" i="18" s="1"/>
  <c r="A126" i="21"/>
  <c r="K11" i="18"/>
  <c r="A127" i="21"/>
  <c r="L11" i="18" s="1"/>
  <c r="A128" i="21"/>
  <c r="P12" i="18"/>
  <c r="B12" i="18"/>
  <c r="A130" i="21"/>
  <c r="Q12" i="18"/>
  <c r="Q13" i="18"/>
  <c r="A129" i="21"/>
  <c r="P13" i="18" s="1"/>
  <c r="B13" i="18"/>
  <c r="A131" i="21"/>
  <c r="A132" i="21"/>
  <c r="A133" i="21"/>
  <c r="B16" i="18"/>
  <c r="A134" i="21"/>
  <c r="A135" i="21"/>
  <c r="D18" i="18" s="1"/>
  <c r="A136" i="21"/>
  <c r="E18" i="18"/>
  <c r="A137" i="21"/>
  <c r="F18" i="18" s="1"/>
  <c r="A138" i="21"/>
  <c r="G18" i="18"/>
  <c r="G52" i="18"/>
  <c r="A139" i="21"/>
  <c r="A140" i="21"/>
  <c r="I18" i="18"/>
  <c r="A141" i="21"/>
  <c r="J18" i="18" s="1"/>
  <c r="A142" i="21"/>
  <c r="A143" i="21"/>
  <c r="L18" i="18"/>
  <c r="A144" i="21"/>
  <c r="C19" i="18"/>
  <c r="A145" i="21"/>
  <c r="H19" i="18"/>
  <c r="A146" i="21"/>
  <c r="A147" i="21"/>
  <c r="A148" i="21"/>
  <c r="B64" i="18"/>
  <c r="A149" i="21"/>
  <c r="B65" i="18"/>
  <c r="A150" i="21"/>
  <c r="B67" i="18"/>
  <c r="A151" i="21"/>
  <c r="A152" i="21"/>
  <c r="F69" i="18"/>
  <c r="A153" i="21"/>
  <c r="G69" i="18" s="1"/>
  <c r="A154" i="21"/>
  <c r="H69" i="18"/>
  <c r="A155" i="21"/>
  <c r="A156" i="21"/>
  <c r="B71" i="18"/>
  <c r="A157" i="21"/>
  <c r="B72" i="18"/>
  <c r="A158" i="21"/>
  <c r="A159" i="21"/>
  <c r="A160" i="21"/>
  <c r="I73" i="18"/>
  <c r="A161" i="21"/>
  <c r="B75" i="18"/>
  <c r="A162" i="21"/>
  <c r="A163" i="21"/>
  <c r="A164" i="21"/>
  <c r="B80" i="18"/>
  <c r="A165" i="21"/>
  <c r="B79" i="18"/>
  <c r="A166" i="21"/>
  <c r="A167" i="21"/>
  <c r="A168" i="21"/>
  <c r="B82" i="18"/>
  <c r="A169" i="21"/>
  <c r="A170" i="21"/>
  <c r="A171" i="21"/>
  <c r="I77" i="18"/>
  <c r="K77" i="18"/>
  <c r="A172" i="21"/>
  <c r="J77" i="18"/>
  <c r="L77" i="18"/>
  <c r="A173" i="21"/>
  <c r="A174" i="21"/>
  <c r="A175" i="21"/>
  <c r="A176" i="21"/>
  <c r="G83" i="18" s="1"/>
  <c r="A177" i="21"/>
  <c r="A178" i="21"/>
  <c r="A179" i="21"/>
  <c r="A180" i="21"/>
  <c r="A181" i="21"/>
  <c r="G84" i="18"/>
  <c r="A182" i="21"/>
  <c r="A183" i="21"/>
  <c r="A184" i="21"/>
  <c r="B88" i="18"/>
  <c r="A185" i="21"/>
  <c r="A186" i="21"/>
  <c r="B90" i="18"/>
  <c r="A187" i="21"/>
  <c r="A188" i="21"/>
  <c r="K16" i="18" s="1"/>
  <c r="A189" i="21"/>
  <c r="D72" i="18"/>
  <c r="A190" i="21"/>
  <c r="A191" i="21"/>
  <c r="H90" i="18"/>
  <c r="H92" i="18"/>
  <c r="A192" i="21"/>
  <c r="I75" i="18" s="1"/>
  <c r="A193" i="21"/>
  <c r="K75" i="18"/>
  <c r="A195" i="21"/>
  <c r="B5" i="19" s="1"/>
  <c r="A196" i="21"/>
  <c r="B6" i="19"/>
  <c r="A197" i="21"/>
  <c r="A198" i="21"/>
  <c r="A199" i="21"/>
  <c r="B9" i="19"/>
  <c r="A200" i="21"/>
  <c r="B10" i="19" s="1"/>
  <c r="A201" i="21"/>
  <c r="A202" i="21"/>
  <c r="A203" i="21"/>
  <c r="B13" i="19" s="1"/>
  <c r="A204" i="21"/>
  <c r="B14" i="19"/>
  <c r="A205" i="21"/>
  <c r="A206" i="21"/>
  <c r="A207" i="21"/>
  <c r="B18" i="19"/>
  <c r="A208" i="21"/>
  <c r="A209" i="21"/>
  <c r="A210" i="21"/>
  <c r="A211" i="21"/>
  <c r="B21" i="19"/>
  <c r="A212" i="21"/>
  <c r="B22" i="19"/>
  <c r="A213" i="21"/>
  <c r="A214" i="21"/>
  <c r="A215" i="21"/>
  <c r="C11" i="19"/>
  <c r="A216" i="21"/>
  <c r="D5" i="19"/>
  <c r="A217" i="21"/>
  <c r="A218" i="21"/>
  <c r="A219" i="21"/>
  <c r="D8" i="19"/>
  <c r="A220" i="21"/>
  <c r="D9" i="19"/>
  <c r="A221" i="21"/>
  <c r="A222" i="21"/>
  <c r="A223" i="21"/>
  <c r="D12" i="19"/>
  <c r="A224" i="21"/>
  <c r="D13" i="19"/>
  <c r="A225" i="21"/>
  <c r="A226" i="21"/>
  <c r="A227" i="21"/>
  <c r="D16" i="19"/>
  <c r="A228" i="21"/>
  <c r="D18" i="19"/>
  <c r="A229" i="21"/>
  <c r="A230" i="21"/>
  <c r="A231" i="21"/>
  <c r="D22" i="19"/>
  <c r="A232" i="21"/>
  <c r="B27" i="19"/>
  <c r="A233" i="21"/>
  <c r="A234" i="21"/>
  <c r="A235" i="21"/>
  <c r="B30" i="19"/>
  <c r="A236" i="21"/>
  <c r="A237" i="21"/>
  <c r="A238" i="21"/>
  <c r="B33" i="19"/>
  <c r="A239" i="21"/>
  <c r="B34" i="19"/>
  <c r="A240" i="21"/>
  <c r="B35" i="19"/>
  <c r="A241" i="21"/>
  <c r="A242" i="21"/>
  <c r="F5" i="19"/>
  <c r="A243" i="21"/>
  <c r="G5" i="19" s="1"/>
  <c r="J5" i="19" s="1"/>
  <c r="A244" i="21"/>
  <c r="A245" i="21"/>
  <c r="A246" i="21"/>
  <c r="A247" i="21"/>
  <c r="B23" i="19"/>
  <c r="A248" i="21"/>
  <c r="B24" i="19" s="1"/>
  <c r="A249" i="21"/>
  <c r="A250" i="21"/>
  <c r="I4" i="19"/>
  <c r="A254" i="21"/>
  <c r="A255" i="21"/>
  <c r="A256" i="21"/>
  <c r="A257" i="21"/>
  <c r="A258" i="21"/>
  <c r="B4" i="37"/>
  <c r="A259" i="21"/>
  <c r="A260" i="21"/>
  <c r="D15" i="37" s="1"/>
  <c r="A261" i="21"/>
  <c r="A262" i="21"/>
  <c r="H13" i="27"/>
  <c r="A263" i="21"/>
  <c r="A264" i="21"/>
  <c r="A265" i="21"/>
  <c r="I15" i="27"/>
  <c r="A266" i="21"/>
  <c r="J13" i="27"/>
  <c r="A267" i="21"/>
  <c r="J14" i="37"/>
  <c r="A268" i="21"/>
  <c r="J15" i="37"/>
  <c r="A269" i="21"/>
  <c r="K13" i="37"/>
  <c r="A270" i="21"/>
  <c r="K14" i="37"/>
  <c r="A271" i="21"/>
  <c r="K15" i="37"/>
  <c r="A272" i="21"/>
  <c r="B16" i="37"/>
  <c r="A273" i="21"/>
  <c r="A274" i="21"/>
  <c r="A275" i="21"/>
  <c r="A276" i="21"/>
  <c r="B56" i="27"/>
  <c r="A277" i="21"/>
  <c r="B68" i="27" s="1"/>
  <c r="A278" i="21"/>
  <c r="B78" i="36"/>
  <c r="A279" i="21"/>
  <c r="B88" i="27" s="1"/>
  <c r="A280" i="21"/>
  <c r="B98" i="27"/>
  <c r="A281" i="21"/>
  <c r="A282" i="21"/>
  <c r="B118" i="27"/>
  <c r="A283" i="21"/>
  <c r="A284" i="21"/>
  <c r="E27" i="37" s="1"/>
  <c r="A285" i="21"/>
  <c r="E28" i="37"/>
  <c r="A286" i="21"/>
  <c r="E19" i="37" s="1"/>
  <c r="A287" i="21"/>
  <c r="A288" i="21"/>
  <c r="A289" i="21"/>
  <c r="A290" i="21"/>
  <c r="E23" i="37"/>
  <c r="B23" i="37"/>
  <c r="A291" i="21"/>
  <c r="E34" i="37" s="1"/>
  <c r="A292" i="21"/>
  <c r="A293" i="21"/>
  <c r="I24" i="37"/>
  <c r="A294" i="21"/>
  <c r="I45" i="37"/>
  <c r="A295" i="21"/>
  <c r="B142" i="37"/>
  <c r="A296" i="21"/>
  <c r="B158" i="27"/>
  <c r="A297" i="21"/>
  <c r="B160" i="37"/>
  <c r="A298" i="21"/>
  <c r="B161" i="36"/>
  <c r="A299" i="21"/>
  <c r="A300" i="21"/>
  <c r="B164" i="36" s="1"/>
  <c r="A301" i="21"/>
  <c r="A302" i="21"/>
  <c r="B167" i="37"/>
  <c r="A303" i="21"/>
  <c r="A304" i="21"/>
  <c r="H161" i="37"/>
  <c r="A305" i="21"/>
  <c r="A306" i="21"/>
  <c r="H164" i="37"/>
  <c r="A307" i="21"/>
  <c r="H166" i="37"/>
  <c r="A308" i="21"/>
  <c r="H167" i="36"/>
  <c r="A309" i="21"/>
  <c r="A310" i="21"/>
  <c r="B170" i="36" s="1"/>
  <c r="A311" i="21"/>
  <c r="B170" i="37"/>
  <c r="A312" i="21"/>
  <c r="B172" i="37" s="1"/>
  <c r="A313" i="21"/>
  <c r="A314" i="21"/>
  <c r="K66" i="36"/>
  <c r="A315" i="21"/>
  <c r="A317" i="21"/>
  <c r="B3" i="34"/>
  <c r="A318" i="21"/>
  <c r="B4" i="34" s="1"/>
  <c r="A319" i="21"/>
  <c r="B6" i="34"/>
  <c r="A320" i="21"/>
  <c r="B8" i="34" s="1"/>
  <c r="A321" i="21"/>
  <c r="B10" i="34"/>
  <c r="A322" i="21"/>
  <c r="B12" i="34" s="1"/>
  <c r="A323" i="21"/>
  <c r="B14" i="34"/>
  <c r="A324" i="21"/>
  <c r="B18" i="34" s="1"/>
  <c r="A325" i="21"/>
  <c r="F21" i="34"/>
  <c r="A326" i="21"/>
  <c r="A327" i="21"/>
  <c r="A328" i="21"/>
  <c r="G22" i="34"/>
  <c r="A329" i="21"/>
  <c r="F31" i="34" s="1"/>
  <c r="A330" i="21"/>
  <c r="E27" i="34" s="1"/>
  <c r="A331" i="21"/>
  <c r="E31" i="34" s="1"/>
  <c r="A332" i="21"/>
  <c r="E35" i="34" s="1"/>
  <c r="A333" i="21"/>
  <c r="A334" i="21"/>
  <c r="A335" i="21"/>
  <c r="A336" i="21"/>
  <c r="A337" i="21"/>
  <c r="A338" i="21"/>
  <c r="A339" i="21"/>
  <c r="A341" i="21"/>
  <c r="B5" i="38"/>
  <c r="A342" i="21"/>
  <c r="B6" i="38"/>
  <c r="A343" i="21"/>
  <c r="A344" i="21"/>
  <c r="B8" i="38" s="1"/>
  <c r="A345" i="21"/>
  <c r="B10" i="38" s="1"/>
  <c r="A346" i="21"/>
  <c r="B11" i="38" s="1"/>
  <c r="A347" i="21"/>
  <c r="A348" i="21"/>
  <c r="B14" i="38"/>
  <c r="A350" i="21"/>
  <c r="B3" i="42"/>
  <c r="A351" i="21"/>
  <c r="A352" i="21"/>
  <c r="B6" i="42" s="1"/>
  <c r="A353" i="21"/>
  <c r="A354" i="21"/>
  <c r="B8" i="42"/>
  <c r="A355" i="21"/>
  <c r="A356" i="21"/>
  <c r="B11" i="42" s="1"/>
  <c r="A357" i="21"/>
  <c r="A358" i="21"/>
  <c r="D13" i="42"/>
  <c r="A359" i="21"/>
  <c r="D14" i="42"/>
  <c r="A360" i="21"/>
  <c r="D15" i="42"/>
  <c r="A361" i="21"/>
  <c r="A363" i="21"/>
  <c r="C18" i="42" s="1"/>
  <c r="A364" i="21"/>
  <c r="D18" i="42" s="1"/>
  <c r="A365" i="21"/>
  <c r="A366" i="21"/>
  <c r="D20" i="42"/>
  <c r="A367" i="21"/>
  <c r="G20" i="42"/>
  <c r="A368" i="21"/>
  <c r="C22" i="42"/>
  <c r="A369" i="21"/>
  <c r="D22" i="42"/>
  <c r="A370" i="21"/>
  <c r="A371" i="21"/>
  <c r="A372" i="21"/>
  <c r="D25" i="42"/>
  <c r="A373" i="21"/>
  <c r="D26" i="42"/>
  <c r="A374" i="21"/>
  <c r="A375" i="21"/>
  <c r="D28" i="42" s="1"/>
  <c r="A376" i="21"/>
  <c r="C30" i="42" s="1"/>
  <c r="A377" i="21"/>
  <c r="D30" i="42" s="1"/>
  <c r="A378" i="21"/>
  <c r="A379" i="21"/>
  <c r="B33" i="42"/>
  <c r="A380" i="21"/>
  <c r="C35" i="42"/>
  <c r="A381" i="21"/>
  <c r="C36" i="42"/>
  <c r="A382" i="21"/>
  <c r="C38" i="42"/>
  <c r="A383" i="21"/>
  <c r="A384" i="21"/>
  <c r="E40" i="42" s="1"/>
  <c r="A385" i="21"/>
  <c r="A386" i="21"/>
  <c r="E43" i="42"/>
  <c r="A387" i="21"/>
  <c r="A388" i="21"/>
  <c r="E45" i="42" s="1"/>
  <c r="A389" i="21"/>
  <c r="A390" i="21"/>
  <c r="E47" i="42"/>
  <c r="A391" i="21"/>
  <c r="E48" i="42"/>
  <c r="A392" i="21"/>
  <c r="E49" i="42"/>
  <c r="A393" i="21"/>
  <c r="E50" i="42"/>
  <c r="A394" i="21"/>
  <c r="A395" i="21"/>
  <c r="A396" i="21"/>
  <c r="E53" i="42"/>
  <c r="A397" i="21"/>
  <c r="C55" i="42"/>
  <c r="A398" i="21"/>
  <c r="A399" i="21"/>
  <c r="E57" i="42" s="1"/>
  <c r="A400" i="21"/>
  <c r="E58" i="42" s="1"/>
  <c r="A401" i="21"/>
  <c r="E59" i="42" s="1"/>
  <c r="A402" i="21"/>
  <c r="C61" i="42" s="1"/>
  <c r="A403" i="21"/>
  <c r="A404" i="21"/>
  <c r="E62" i="42"/>
  <c r="A405" i="21"/>
  <c r="E63" i="42"/>
  <c r="A406" i="21"/>
  <c r="E64" i="42"/>
  <c r="A407" i="21"/>
  <c r="A408" i="21"/>
  <c r="E66" i="42" s="1"/>
  <c r="A409" i="21"/>
  <c r="E67" i="42" s="1"/>
  <c r="A410" i="21"/>
  <c r="E68" i="42" s="1"/>
  <c r="A411" i="21"/>
  <c r="A412" i="21"/>
  <c r="C71" i="42"/>
  <c r="A413" i="21"/>
  <c r="E70" i="42"/>
  <c r="A414" i="21"/>
  <c r="E71" i="42"/>
  <c r="A415" i="21"/>
  <c r="A416" i="21"/>
  <c r="A417" i="21"/>
  <c r="E74" i="42"/>
  <c r="A418" i="21"/>
  <c r="C76" i="42"/>
  <c r="A419" i="21"/>
  <c r="A420" i="21"/>
  <c r="E77" i="42" s="1"/>
  <c r="A421" i="21"/>
  <c r="C79" i="42" s="1"/>
  <c r="A422" i="21"/>
  <c r="E79" i="42" s="1"/>
  <c r="A423" i="21"/>
  <c r="A424" i="21"/>
  <c r="E81" i="42"/>
  <c r="A425" i="21"/>
  <c r="E82" i="42"/>
  <c r="A426" i="21"/>
  <c r="C84" i="42"/>
  <c r="A428" i="21"/>
  <c r="C86" i="42"/>
  <c r="A429" i="21"/>
  <c r="C88" i="42"/>
  <c r="A430" i="21"/>
  <c r="C89" i="42"/>
  <c r="A431" i="21"/>
  <c r="A432" i="21"/>
  <c r="A433" i="21"/>
  <c r="A434" i="21"/>
  <c r="E23" i="34"/>
  <c r="E29" i="34"/>
  <c r="E33" i="34"/>
  <c r="E37" i="34"/>
  <c r="B6" i="37"/>
  <c r="E6" i="37"/>
  <c r="M33" i="37"/>
  <c r="B9" i="37"/>
  <c r="H15" i="37"/>
  <c r="I15" i="37"/>
  <c r="C17" i="37"/>
  <c r="F17" i="37"/>
  <c r="G17" i="37"/>
  <c r="M17" i="37"/>
  <c r="N17" i="37"/>
  <c r="C18" i="37"/>
  <c r="G18" i="37"/>
  <c r="M18" i="37"/>
  <c r="N18" i="37" s="1"/>
  <c r="C19" i="37"/>
  <c r="G19" i="37"/>
  <c r="M19" i="37"/>
  <c r="N19" i="37" s="1"/>
  <c r="C20" i="37"/>
  <c r="G20" i="37"/>
  <c r="I20" i="37"/>
  <c r="M20" i="37"/>
  <c r="N20" i="37"/>
  <c r="C21" i="37"/>
  <c r="G21" i="37"/>
  <c r="I21" i="37"/>
  <c r="M21" i="37"/>
  <c r="N21" i="37" s="1"/>
  <c r="C22" i="37"/>
  <c r="G22" i="37"/>
  <c r="I22" i="37"/>
  <c r="M22" i="37"/>
  <c r="N22" i="37"/>
  <c r="D24" i="37"/>
  <c r="H25" i="37"/>
  <c r="C27" i="37"/>
  <c r="F27" i="37"/>
  <c r="G27" i="37"/>
  <c r="M27" i="37"/>
  <c r="N27" i="37"/>
  <c r="C28" i="37"/>
  <c r="G28" i="37"/>
  <c r="M28" i="37"/>
  <c r="N28" i="37"/>
  <c r="C29" i="37"/>
  <c r="E29" i="37"/>
  <c r="G29" i="37"/>
  <c r="M29" i="37"/>
  <c r="N29" i="37"/>
  <c r="C30" i="37"/>
  <c r="G30" i="37"/>
  <c r="M30" i="37"/>
  <c r="N30" i="37"/>
  <c r="C31" i="37"/>
  <c r="G31" i="37"/>
  <c r="I31" i="37"/>
  <c r="M31" i="37"/>
  <c r="N31" i="37"/>
  <c r="C32" i="37"/>
  <c r="G32" i="37"/>
  <c r="M32" i="37"/>
  <c r="N32" i="37"/>
  <c r="D34" i="37"/>
  <c r="I34" i="37"/>
  <c r="H35" i="37"/>
  <c r="C37" i="37"/>
  <c r="F37" i="37"/>
  <c r="G37" i="37"/>
  <c r="M37" i="37"/>
  <c r="N37" i="37"/>
  <c r="C38" i="37"/>
  <c r="G38" i="37"/>
  <c r="M38" i="37"/>
  <c r="N38" i="37"/>
  <c r="C39" i="37"/>
  <c r="G39" i="37"/>
  <c r="M39" i="37"/>
  <c r="N39" i="37"/>
  <c r="C40" i="37"/>
  <c r="G40" i="37"/>
  <c r="M40" i="37"/>
  <c r="N40" i="37"/>
  <c r="C41" i="37"/>
  <c r="G41" i="37"/>
  <c r="M41" i="37"/>
  <c r="N41" i="37"/>
  <c r="C42" i="37"/>
  <c r="G42" i="37"/>
  <c r="M42" i="37"/>
  <c r="N42" i="37"/>
  <c r="D44" i="37"/>
  <c r="I44" i="37"/>
  <c r="H45" i="37"/>
  <c r="C47" i="37"/>
  <c r="F47" i="37"/>
  <c r="G47" i="37"/>
  <c r="M47" i="37"/>
  <c r="N47" i="37"/>
  <c r="C48" i="37"/>
  <c r="G48" i="37"/>
  <c r="M48" i="37"/>
  <c r="N48" i="37"/>
  <c r="C49" i="37"/>
  <c r="G49" i="37"/>
  <c r="M49" i="37"/>
  <c r="N49" i="37"/>
  <c r="C50" i="37"/>
  <c r="G50" i="37"/>
  <c r="M50" i="37"/>
  <c r="N50" i="37"/>
  <c r="C51" i="37"/>
  <c r="G51" i="37"/>
  <c r="M51" i="37"/>
  <c r="N51" i="37"/>
  <c r="C52" i="37"/>
  <c r="G52" i="37"/>
  <c r="M52" i="37"/>
  <c r="N52" i="37"/>
  <c r="D54" i="37"/>
  <c r="I54" i="37"/>
  <c r="H55" i="37"/>
  <c r="B56" i="37"/>
  <c r="C57" i="37"/>
  <c r="F57" i="37"/>
  <c r="G57" i="37"/>
  <c r="M57" i="37"/>
  <c r="N57" i="37"/>
  <c r="C58" i="37"/>
  <c r="G58" i="37"/>
  <c r="M58" i="37"/>
  <c r="N58" i="37"/>
  <c r="C59" i="37"/>
  <c r="G59" i="37"/>
  <c r="M59" i="37"/>
  <c r="N59" i="37"/>
  <c r="C60" i="37"/>
  <c r="G60" i="37"/>
  <c r="M60" i="37"/>
  <c r="N60" i="37"/>
  <c r="C61" i="37"/>
  <c r="G61" i="37"/>
  <c r="M61" i="37"/>
  <c r="N61" i="37"/>
  <c r="C62" i="37"/>
  <c r="E62" i="37"/>
  <c r="G62" i="37"/>
  <c r="M62" i="37"/>
  <c r="N62" i="37"/>
  <c r="F63" i="37"/>
  <c r="D64" i="37"/>
  <c r="I64" i="37"/>
  <c r="H65" i="37"/>
  <c r="B68" i="37"/>
  <c r="C69" i="37"/>
  <c r="F69" i="37"/>
  <c r="G69" i="37"/>
  <c r="M69" i="37"/>
  <c r="N69" i="37"/>
  <c r="C70" i="37"/>
  <c r="G70" i="37"/>
  <c r="M70" i="37"/>
  <c r="N70" i="37"/>
  <c r="C71" i="37"/>
  <c r="G71" i="37"/>
  <c r="M71" i="37"/>
  <c r="N71" i="37"/>
  <c r="C72" i="37"/>
  <c r="G72" i="37"/>
  <c r="M72" i="37"/>
  <c r="N72" i="37"/>
  <c r="C73" i="37"/>
  <c r="G73" i="37"/>
  <c r="I73" i="37"/>
  <c r="M73" i="37"/>
  <c r="N73" i="37"/>
  <c r="C74" i="37"/>
  <c r="E74" i="37"/>
  <c r="G74" i="37"/>
  <c r="M74" i="37"/>
  <c r="N74" i="37"/>
  <c r="D76" i="37"/>
  <c r="I76" i="37"/>
  <c r="H77" i="37"/>
  <c r="C79" i="37"/>
  <c r="F79" i="37"/>
  <c r="G79" i="37"/>
  <c r="M79" i="37"/>
  <c r="N79" i="37"/>
  <c r="C80" i="37"/>
  <c r="G80" i="37"/>
  <c r="I80" i="37"/>
  <c r="M80" i="37"/>
  <c r="N80" i="37"/>
  <c r="C81" i="37"/>
  <c r="G81" i="37"/>
  <c r="M81" i="37"/>
  <c r="N81" i="37"/>
  <c r="C82" i="37"/>
  <c r="G82" i="37"/>
  <c r="M82" i="37"/>
  <c r="N82" i="37"/>
  <c r="C83" i="37"/>
  <c r="G83" i="37"/>
  <c r="M83" i="37"/>
  <c r="N83" i="37"/>
  <c r="C84" i="37"/>
  <c r="G84" i="37"/>
  <c r="I84" i="37"/>
  <c r="M84" i="37"/>
  <c r="N84" i="37"/>
  <c r="F85" i="37"/>
  <c r="D86" i="37"/>
  <c r="I86" i="37"/>
  <c r="H87" i="37"/>
  <c r="C89" i="37"/>
  <c r="F89" i="37"/>
  <c r="G89" i="37"/>
  <c r="M89" i="37"/>
  <c r="N89" i="37"/>
  <c r="C90" i="37"/>
  <c r="G90" i="37"/>
  <c r="M90" i="37"/>
  <c r="N90" i="37"/>
  <c r="C91" i="37"/>
  <c r="G91" i="37"/>
  <c r="M91" i="37"/>
  <c r="N91" i="37"/>
  <c r="C92" i="37"/>
  <c r="G92" i="37"/>
  <c r="M92" i="37"/>
  <c r="N92" i="37"/>
  <c r="C93" i="37"/>
  <c r="G93" i="37"/>
  <c r="M93" i="37"/>
  <c r="N93" i="37"/>
  <c r="C94" i="37"/>
  <c r="E94" i="37"/>
  <c r="G94" i="37"/>
  <c r="M94" i="37"/>
  <c r="N94" i="37"/>
  <c r="D96" i="37"/>
  <c r="I96" i="37"/>
  <c r="H97" i="37"/>
  <c r="C99" i="37"/>
  <c r="F99" i="37"/>
  <c r="G99" i="37"/>
  <c r="M99" i="37"/>
  <c r="N99" i="37"/>
  <c r="C100" i="37"/>
  <c r="E100" i="37"/>
  <c r="G100" i="37"/>
  <c r="I100" i="37"/>
  <c r="M100" i="37"/>
  <c r="N100" i="37"/>
  <c r="C101" i="37"/>
  <c r="E101" i="37"/>
  <c r="G101" i="37"/>
  <c r="M101" i="37"/>
  <c r="N101" i="37"/>
  <c r="C102" i="37"/>
  <c r="G102" i="37"/>
  <c r="I102" i="37"/>
  <c r="M102" i="37"/>
  <c r="N102" i="37"/>
  <c r="C103" i="37"/>
  <c r="G103" i="37"/>
  <c r="M103" i="37"/>
  <c r="N103" i="37"/>
  <c r="C104" i="37"/>
  <c r="G104" i="37"/>
  <c r="M104" i="37"/>
  <c r="N104" i="37"/>
  <c r="I105" i="37"/>
  <c r="D106" i="37"/>
  <c r="H107" i="37"/>
  <c r="B108" i="37"/>
  <c r="C109" i="37"/>
  <c r="F109" i="37"/>
  <c r="G109" i="37"/>
  <c r="M109" i="37"/>
  <c r="N109" i="37"/>
  <c r="C110" i="37"/>
  <c r="G110" i="37"/>
  <c r="I110" i="37"/>
  <c r="M110" i="37"/>
  <c r="N110" i="37"/>
  <c r="C111" i="37"/>
  <c r="G111" i="37"/>
  <c r="M111" i="37"/>
  <c r="N111" i="37"/>
  <c r="C112" i="37"/>
  <c r="G112" i="37"/>
  <c r="M112" i="37"/>
  <c r="N112" i="37"/>
  <c r="C113" i="37"/>
  <c r="G113" i="37"/>
  <c r="I113" i="37"/>
  <c r="M113" i="37"/>
  <c r="N113" i="37"/>
  <c r="C114" i="37"/>
  <c r="G114" i="37"/>
  <c r="I114" i="37"/>
  <c r="M114" i="37"/>
  <c r="N114" i="37"/>
  <c r="D116" i="37"/>
  <c r="I116" i="37"/>
  <c r="H117" i="37"/>
  <c r="C119" i="37"/>
  <c r="F119" i="37"/>
  <c r="G119" i="37"/>
  <c r="M119" i="37"/>
  <c r="N119" i="37"/>
  <c r="C120" i="37"/>
  <c r="G120" i="37"/>
  <c r="I120" i="37"/>
  <c r="M120" i="37"/>
  <c r="N120" i="37"/>
  <c r="C121" i="37"/>
  <c r="G121" i="37"/>
  <c r="I121" i="37"/>
  <c r="M121" i="37"/>
  <c r="N121" i="37"/>
  <c r="C122" i="37"/>
  <c r="G122" i="37"/>
  <c r="M122" i="37"/>
  <c r="N122" i="37"/>
  <c r="C123" i="37"/>
  <c r="E123" i="37"/>
  <c r="G123" i="37"/>
  <c r="M123" i="37"/>
  <c r="N123" i="37"/>
  <c r="C124" i="37"/>
  <c r="G124" i="37"/>
  <c r="M124" i="37"/>
  <c r="N124" i="37"/>
  <c r="I125" i="37"/>
  <c r="D126" i="37"/>
  <c r="I126" i="37"/>
  <c r="H127" i="37"/>
  <c r="C131" i="37"/>
  <c r="F131" i="37"/>
  <c r="G131" i="37"/>
  <c r="M131" i="37"/>
  <c r="N131" i="37"/>
  <c r="C132" i="37"/>
  <c r="G132" i="37"/>
  <c r="M132" i="37"/>
  <c r="N132" i="37"/>
  <c r="C133" i="37"/>
  <c r="G133" i="37"/>
  <c r="I133" i="37"/>
  <c r="M133" i="37"/>
  <c r="N133" i="37"/>
  <c r="C134" i="37"/>
  <c r="G134" i="37"/>
  <c r="M134" i="37"/>
  <c r="N134" i="37"/>
  <c r="C135" i="37"/>
  <c r="G135" i="37"/>
  <c r="I135" i="37"/>
  <c r="M135" i="37"/>
  <c r="N135" i="37"/>
  <c r="C136" i="37"/>
  <c r="G136" i="37"/>
  <c r="I136" i="37"/>
  <c r="M136" i="37"/>
  <c r="N136" i="37"/>
  <c r="I137" i="37"/>
  <c r="E137" i="37"/>
  <c r="B137" i="37" s="1"/>
  <c r="D138" i="37"/>
  <c r="I138" i="37"/>
  <c r="H163" i="37"/>
  <c r="E6" i="36"/>
  <c r="M125" i="36"/>
  <c r="B9" i="36"/>
  <c r="B11" i="36"/>
  <c r="K13" i="36"/>
  <c r="H15" i="36"/>
  <c r="I15" i="36"/>
  <c r="K15" i="36"/>
  <c r="C17" i="36"/>
  <c r="F17" i="36"/>
  <c r="G17" i="36"/>
  <c r="M17" i="36"/>
  <c r="N17" i="36"/>
  <c r="C18" i="36"/>
  <c r="G18" i="36"/>
  <c r="M18" i="36"/>
  <c r="N18" i="36" s="1"/>
  <c r="C19" i="36"/>
  <c r="G19" i="36"/>
  <c r="M19" i="36"/>
  <c r="N19" i="36" s="1"/>
  <c r="C20" i="36"/>
  <c r="G20" i="36"/>
  <c r="I20" i="36"/>
  <c r="M20" i="36"/>
  <c r="N20" i="36"/>
  <c r="C21" i="36"/>
  <c r="G21" i="36"/>
  <c r="M21" i="36"/>
  <c r="N21" i="36"/>
  <c r="C22" i="36"/>
  <c r="G22" i="36"/>
  <c r="M22" i="36"/>
  <c r="N22" i="36"/>
  <c r="I23" i="36"/>
  <c r="E23" i="36"/>
  <c r="B23" i="36" s="1"/>
  <c r="D24" i="36"/>
  <c r="I24" i="36"/>
  <c r="H25" i="36"/>
  <c r="B26" i="36"/>
  <c r="C27" i="36"/>
  <c r="F27" i="36"/>
  <c r="G27" i="36"/>
  <c r="M27" i="36"/>
  <c r="N27" i="36"/>
  <c r="C28" i="36"/>
  <c r="E28" i="36"/>
  <c r="G28" i="36"/>
  <c r="M28" i="36"/>
  <c r="N28" i="36"/>
  <c r="C29" i="36"/>
  <c r="G29" i="36"/>
  <c r="I29" i="36"/>
  <c r="M29" i="36"/>
  <c r="N29" i="36"/>
  <c r="C30" i="36"/>
  <c r="G30" i="36"/>
  <c r="M30" i="36"/>
  <c r="N30" i="36"/>
  <c r="C31" i="36"/>
  <c r="G31" i="36"/>
  <c r="M31" i="36"/>
  <c r="N31" i="36"/>
  <c r="C32" i="36"/>
  <c r="G32" i="36"/>
  <c r="M32" i="36"/>
  <c r="N32" i="36"/>
  <c r="D34" i="36"/>
  <c r="I34" i="36"/>
  <c r="H35" i="36"/>
  <c r="C37" i="36"/>
  <c r="F37" i="36"/>
  <c r="G37" i="36"/>
  <c r="M37" i="36"/>
  <c r="N37" i="36"/>
  <c r="C38" i="36"/>
  <c r="G38" i="36"/>
  <c r="M38" i="36"/>
  <c r="N38" i="36"/>
  <c r="C39" i="36"/>
  <c r="E39" i="36"/>
  <c r="G39" i="36"/>
  <c r="M39" i="36"/>
  <c r="N39" i="36"/>
  <c r="C40" i="36"/>
  <c r="G40" i="36"/>
  <c r="I40" i="36"/>
  <c r="M40" i="36"/>
  <c r="N40" i="36"/>
  <c r="C41" i="36"/>
  <c r="G41" i="36"/>
  <c r="I41" i="36"/>
  <c r="M41" i="36"/>
  <c r="N41" i="36"/>
  <c r="C42" i="36"/>
  <c r="E42" i="36"/>
  <c r="G42" i="36"/>
  <c r="I42" i="36"/>
  <c r="M42" i="36"/>
  <c r="N42" i="36"/>
  <c r="I43" i="36"/>
  <c r="D44" i="36"/>
  <c r="H45" i="36"/>
  <c r="C47" i="36"/>
  <c r="F47" i="36"/>
  <c r="G47" i="36"/>
  <c r="M47" i="36"/>
  <c r="N47" i="36"/>
  <c r="C48" i="36"/>
  <c r="G48" i="36"/>
  <c r="M48" i="36"/>
  <c r="N48" i="36"/>
  <c r="C49" i="36"/>
  <c r="G49" i="36"/>
  <c r="M49" i="36"/>
  <c r="N49" i="36"/>
  <c r="C50" i="36"/>
  <c r="G50" i="36"/>
  <c r="M50" i="36"/>
  <c r="N50" i="36"/>
  <c r="C51" i="36"/>
  <c r="G51" i="36"/>
  <c r="M51" i="36"/>
  <c r="N51" i="36"/>
  <c r="C52" i="36"/>
  <c r="G52" i="36"/>
  <c r="M52" i="36"/>
  <c r="N52" i="36"/>
  <c r="I53" i="36"/>
  <c r="D54" i="36"/>
  <c r="I54" i="36"/>
  <c r="H55" i="36"/>
  <c r="B56" i="36"/>
  <c r="C57" i="36"/>
  <c r="F57" i="36"/>
  <c r="G57" i="36"/>
  <c r="M57" i="36"/>
  <c r="N57" i="36"/>
  <c r="C58" i="36"/>
  <c r="E58" i="36"/>
  <c r="G58" i="36"/>
  <c r="M58" i="36"/>
  <c r="N58" i="36"/>
  <c r="C59" i="36"/>
  <c r="E59" i="36"/>
  <c r="G59" i="36"/>
  <c r="M59" i="36"/>
  <c r="N59" i="36"/>
  <c r="C60" i="36"/>
  <c r="G60" i="36"/>
  <c r="M60" i="36"/>
  <c r="N60" i="36"/>
  <c r="C61" i="36"/>
  <c r="G61" i="36"/>
  <c r="M61" i="36"/>
  <c r="N61" i="36"/>
  <c r="C62" i="36"/>
  <c r="G62" i="36"/>
  <c r="M62" i="36"/>
  <c r="N62" i="36"/>
  <c r="D64" i="36"/>
  <c r="H65" i="36"/>
  <c r="B66" i="36"/>
  <c r="B68" i="36"/>
  <c r="C69" i="36"/>
  <c r="E69" i="36"/>
  <c r="F69" i="36"/>
  <c r="G69" i="36"/>
  <c r="M69" i="36"/>
  <c r="N69" i="36"/>
  <c r="C70" i="36"/>
  <c r="E70" i="36"/>
  <c r="G70" i="36"/>
  <c r="I70" i="36"/>
  <c r="M70" i="36"/>
  <c r="N70" i="36"/>
  <c r="C71" i="36"/>
  <c r="G71" i="36"/>
  <c r="M71" i="36"/>
  <c r="N71" i="36"/>
  <c r="C72" i="36"/>
  <c r="G72" i="36"/>
  <c r="M72" i="36"/>
  <c r="N72" i="36"/>
  <c r="C73" i="36"/>
  <c r="G73" i="36"/>
  <c r="I73" i="36"/>
  <c r="M73" i="36"/>
  <c r="N73" i="36"/>
  <c r="C74" i="36"/>
  <c r="G74" i="36"/>
  <c r="I74" i="36"/>
  <c r="M74" i="36"/>
  <c r="N74" i="36"/>
  <c r="E75" i="36"/>
  <c r="B75" i="36" s="1"/>
  <c r="D76" i="36"/>
  <c r="I76" i="36"/>
  <c r="H77" i="36"/>
  <c r="C79" i="36"/>
  <c r="F79" i="36"/>
  <c r="G79" i="36"/>
  <c r="M79" i="36"/>
  <c r="N79" i="36"/>
  <c r="C80" i="36"/>
  <c r="G80" i="36"/>
  <c r="M80" i="36"/>
  <c r="N80" i="36"/>
  <c r="C81" i="36"/>
  <c r="G81" i="36"/>
  <c r="M81" i="36"/>
  <c r="N81" i="36"/>
  <c r="C82" i="36"/>
  <c r="G82" i="36"/>
  <c r="M82" i="36"/>
  <c r="N82" i="36"/>
  <c r="C83" i="36"/>
  <c r="G83" i="36"/>
  <c r="I83" i="36"/>
  <c r="M83" i="36"/>
  <c r="N83" i="36"/>
  <c r="C84" i="36"/>
  <c r="G84" i="36"/>
  <c r="I84" i="36"/>
  <c r="M84" i="36"/>
  <c r="N84" i="36"/>
  <c r="I85" i="36"/>
  <c r="D86" i="36"/>
  <c r="I86" i="36"/>
  <c r="E87" i="36"/>
  <c r="H87" i="36"/>
  <c r="C89" i="36"/>
  <c r="E89" i="36"/>
  <c r="F89" i="36"/>
  <c r="G89" i="36"/>
  <c r="M89" i="36"/>
  <c r="N89" i="36"/>
  <c r="C90" i="36"/>
  <c r="G90" i="36"/>
  <c r="M90" i="36"/>
  <c r="N90" i="36"/>
  <c r="C91" i="36"/>
  <c r="E91" i="36"/>
  <c r="G91" i="36"/>
  <c r="M91" i="36"/>
  <c r="N91" i="36"/>
  <c r="C92" i="36"/>
  <c r="G92" i="36"/>
  <c r="M92" i="36"/>
  <c r="N92" i="36"/>
  <c r="C93" i="36"/>
  <c r="G93" i="36"/>
  <c r="M93" i="36"/>
  <c r="N93" i="36"/>
  <c r="C94" i="36"/>
  <c r="E94" i="36"/>
  <c r="G94" i="36"/>
  <c r="M94" i="36"/>
  <c r="N94" i="36"/>
  <c r="D96" i="36"/>
  <c r="I96" i="36"/>
  <c r="H97" i="36"/>
  <c r="C99" i="36"/>
  <c r="E99" i="36"/>
  <c r="F99" i="36"/>
  <c r="G99" i="36"/>
  <c r="M99" i="36"/>
  <c r="N99" i="36"/>
  <c r="C100" i="36"/>
  <c r="G100" i="36"/>
  <c r="M100" i="36"/>
  <c r="N100" i="36"/>
  <c r="C101" i="36"/>
  <c r="G101" i="36"/>
  <c r="I101" i="36"/>
  <c r="M101" i="36"/>
  <c r="N101" i="36"/>
  <c r="C102" i="36"/>
  <c r="G102" i="36"/>
  <c r="M102" i="36"/>
  <c r="N102" i="36"/>
  <c r="C103" i="36"/>
  <c r="G103" i="36"/>
  <c r="I103" i="36"/>
  <c r="M103" i="36"/>
  <c r="N103" i="36"/>
  <c r="C104" i="36"/>
  <c r="G104" i="36"/>
  <c r="M104" i="36"/>
  <c r="N104" i="36"/>
  <c r="E105" i="36"/>
  <c r="B105" i="36" s="1"/>
  <c r="D106" i="36"/>
  <c r="E106" i="36"/>
  <c r="I106" i="36"/>
  <c r="H107" i="36"/>
  <c r="B108" i="36"/>
  <c r="C109" i="36"/>
  <c r="F109" i="36"/>
  <c r="G109" i="36"/>
  <c r="M109" i="36"/>
  <c r="N109" i="36"/>
  <c r="C110" i="36"/>
  <c r="E110" i="36"/>
  <c r="G110" i="36"/>
  <c r="M110" i="36"/>
  <c r="N110" i="36"/>
  <c r="C111" i="36"/>
  <c r="G111" i="36"/>
  <c r="M111" i="36"/>
  <c r="N111" i="36"/>
  <c r="C112" i="36"/>
  <c r="E112" i="36"/>
  <c r="G112" i="36"/>
  <c r="I112" i="36"/>
  <c r="M112" i="36"/>
  <c r="N112" i="36"/>
  <c r="C113" i="36"/>
  <c r="G113" i="36"/>
  <c r="I113" i="36"/>
  <c r="M113" i="36"/>
  <c r="N113" i="36"/>
  <c r="C114" i="36"/>
  <c r="G114" i="36"/>
  <c r="M114" i="36"/>
  <c r="N114" i="36"/>
  <c r="D116" i="36"/>
  <c r="I116" i="36"/>
  <c r="H117" i="36"/>
  <c r="C119" i="36"/>
  <c r="F119" i="36"/>
  <c r="G119" i="36"/>
  <c r="M119" i="36"/>
  <c r="N119" i="36"/>
  <c r="C120" i="36"/>
  <c r="E120" i="36"/>
  <c r="G120" i="36"/>
  <c r="M120" i="36"/>
  <c r="N120" i="36"/>
  <c r="C121" i="36"/>
  <c r="G121" i="36"/>
  <c r="M121" i="36"/>
  <c r="N121" i="36"/>
  <c r="C122" i="36"/>
  <c r="G122" i="36"/>
  <c r="M122" i="36"/>
  <c r="N122" i="36"/>
  <c r="C123" i="36"/>
  <c r="G123" i="36"/>
  <c r="M123" i="36"/>
  <c r="N123" i="36"/>
  <c r="C124" i="36"/>
  <c r="G124" i="36"/>
  <c r="I124" i="36"/>
  <c r="M124" i="36"/>
  <c r="N124" i="36"/>
  <c r="I125" i="36"/>
  <c r="E125" i="36"/>
  <c r="B125" i="36"/>
  <c r="D126" i="36"/>
  <c r="E126" i="36"/>
  <c r="I126" i="36"/>
  <c r="H127" i="36"/>
  <c r="C131" i="36"/>
  <c r="E131" i="36"/>
  <c r="F131" i="36"/>
  <c r="G131" i="36"/>
  <c r="M131" i="36"/>
  <c r="N131" i="36"/>
  <c r="C132" i="36"/>
  <c r="G132" i="36"/>
  <c r="M132" i="36"/>
  <c r="N132" i="36"/>
  <c r="C133" i="36"/>
  <c r="G133" i="36"/>
  <c r="M133" i="36"/>
  <c r="N133" i="36"/>
  <c r="C134" i="36"/>
  <c r="G134" i="36"/>
  <c r="I134" i="36"/>
  <c r="M134" i="36"/>
  <c r="N134" i="36"/>
  <c r="C135" i="36"/>
  <c r="G135" i="36"/>
  <c r="I135" i="36"/>
  <c r="M135" i="36"/>
  <c r="N135" i="36"/>
  <c r="C136" i="36"/>
  <c r="G136" i="36"/>
  <c r="I136" i="36"/>
  <c r="M136" i="36"/>
  <c r="N136" i="36"/>
  <c r="D138" i="36"/>
  <c r="I138" i="36"/>
  <c r="B142" i="36"/>
  <c r="B160" i="36"/>
  <c r="H163" i="36"/>
  <c r="B167" i="36"/>
  <c r="B3" i="27"/>
  <c r="M63" i="27"/>
  <c r="B9" i="27"/>
  <c r="K13" i="27"/>
  <c r="H14" i="27"/>
  <c r="J14" i="27"/>
  <c r="F15" i="27"/>
  <c r="H15" i="27"/>
  <c r="K15" i="27"/>
  <c r="B16" i="27"/>
  <c r="C17" i="27"/>
  <c r="F17" i="27"/>
  <c r="G17" i="27"/>
  <c r="M23" i="27" s="1"/>
  <c r="M17" i="27"/>
  <c r="N17" i="27"/>
  <c r="C18" i="27"/>
  <c r="G18" i="27"/>
  <c r="M18" i="27"/>
  <c r="N18" i="27" s="1"/>
  <c r="C19" i="27"/>
  <c r="G19" i="27"/>
  <c r="M19" i="27"/>
  <c r="N19" i="27" s="1"/>
  <c r="C20" i="27"/>
  <c r="G20" i="27"/>
  <c r="M20" i="27"/>
  <c r="N20" i="27" s="1"/>
  <c r="C21" i="27"/>
  <c r="G21" i="27"/>
  <c r="M21" i="27"/>
  <c r="N21" i="27" s="1"/>
  <c r="C22" i="27"/>
  <c r="G22" i="27"/>
  <c r="I22" i="27"/>
  <c r="M22" i="27"/>
  <c r="N22" i="27"/>
  <c r="I23" i="27"/>
  <c r="D24" i="27"/>
  <c r="E24" i="27"/>
  <c r="I24" i="27"/>
  <c r="H25" i="27"/>
  <c r="C27" i="27"/>
  <c r="F27" i="27"/>
  <c r="G27" i="27"/>
  <c r="M27" i="27"/>
  <c r="N27" i="27"/>
  <c r="C28" i="27"/>
  <c r="G28" i="27"/>
  <c r="I28" i="27"/>
  <c r="M28" i="27"/>
  <c r="N28" i="27"/>
  <c r="C29" i="27"/>
  <c r="G29" i="27"/>
  <c r="M29" i="27"/>
  <c r="N29" i="27"/>
  <c r="C30" i="27"/>
  <c r="G30" i="27"/>
  <c r="M30" i="27"/>
  <c r="N30" i="27"/>
  <c r="C31" i="27"/>
  <c r="G31" i="27"/>
  <c r="M31" i="27"/>
  <c r="N31" i="27"/>
  <c r="C32" i="27"/>
  <c r="G32" i="27"/>
  <c r="M32" i="27"/>
  <c r="N32" i="27"/>
  <c r="D34" i="27"/>
  <c r="I34" i="27"/>
  <c r="H35" i="27"/>
  <c r="C37" i="27"/>
  <c r="E37" i="27"/>
  <c r="F37" i="27"/>
  <c r="G37" i="27"/>
  <c r="M37" i="27"/>
  <c r="N37" i="27"/>
  <c r="C38" i="27"/>
  <c r="G38" i="27"/>
  <c r="M38" i="27"/>
  <c r="N38" i="27"/>
  <c r="C39" i="27"/>
  <c r="G39" i="27"/>
  <c r="M39" i="27"/>
  <c r="N39" i="27"/>
  <c r="C40" i="27"/>
  <c r="G40" i="27"/>
  <c r="I40" i="27"/>
  <c r="M40" i="27"/>
  <c r="N40" i="27"/>
  <c r="C41" i="27"/>
  <c r="G41" i="27"/>
  <c r="M41" i="27"/>
  <c r="N41" i="27"/>
  <c r="C42" i="27"/>
  <c r="E42" i="27"/>
  <c r="G42" i="27"/>
  <c r="M42" i="27"/>
  <c r="N42" i="27"/>
  <c r="I43" i="27"/>
  <c r="E43" i="27"/>
  <c r="B43" i="27" s="1"/>
  <c r="D44" i="27"/>
  <c r="E44" i="27"/>
  <c r="I44" i="27"/>
  <c r="H45" i="27"/>
  <c r="B46" i="27"/>
  <c r="C47" i="27"/>
  <c r="F47" i="27"/>
  <c r="G47" i="27"/>
  <c r="M47" i="27"/>
  <c r="N47" i="27"/>
  <c r="C48" i="27"/>
  <c r="E48" i="27"/>
  <c r="G48" i="27"/>
  <c r="M48" i="27"/>
  <c r="N48" i="27"/>
  <c r="C49" i="27"/>
  <c r="G49" i="27"/>
  <c r="M49" i="27"/>
  <c r="N49" i="27"/>
  <c r="C50" i="27"/>
  <c r="G50" i="27"/>
  <c r="M50" i="27"/>
  <c r="N50" i="27"/>
  <c r="C51" i="27"/>
  <c r="G51" i="27"/>
  <c r="M51" i="27"/>
  <c r="N51" i="27"/>
  <c r="C52" i="27"/>
  <c r="E52" i="27"/>
  <c r="G52" i="27"/>
  <c r="M52" i="27"/>
  <c r="N52" i="27"/>
  <c r="F53" i="27"/>
  <c r="D54" i="27"/>
  <c r="I54" i="27"/>
  <c r="H55" i="27"/>
  <c r="C57" i="27"/>
  <c r="E57" i="27"/>
  <c r="F57" i="27"/>
  <c r="G57" i="27"/>
  <c r="M57" i="27"/>
  <c r="N57" i="27"/>
  <c r="C58" i="27"/>
  <c r="E58" i="27"/>
  <c r="G58" i="27"/>
  <c r="I58" i="27"/>
  <c r="M58" i="27"/>
  <c r="N58" i="27"/>
  <c r="C59" i="27"/>
  <c r="G59" i="27"/>
  <c r="M59" i="27"/>
  <c r="N59" i="27"/>
  <c r="C60" i="27"/>
  <c r="G60" i="27"/>
  <c r="M60" i="27"/>
  <c r="N60" i="27"/>
  <c r="C61" i="27"/>
  <c r="G61" i="27"/>
  <c r="I61" i="27"/>
  <c r="M61" i="27"/>
  <c r="N61" i="27"/>
  <c r="C62" i="27"/>
  <c r="G62" i="27"/>
  <c r="M62" i="27"/>
  <c r="N62" i="27"/>
  <c r="I63" i="27"/>
  <c r="E63" i="27"/>
  <c r="B63" i="27" s="1"/>
  <c r="D64" i="27"/>
  <c r="E64" i="27"/>
  <c r="I64" i="27"/>
  <c r="E65" i="27"/>
  <c r="H65" i="27"/>
  <c r="B66" i="27"/>
  <c r="C69" i="27"/>
  <c r="F69" i="27"/>
  <c r="G69" i="27"/>
  <c r="M69" i="27"/>
  <c r="N69" i="27"/>
  <c r="C70" i="27"/>
  <c r="E70" i="27"/>
  <c r="G70" i="27"/>
  <c r="M70" i="27"/>
  <c r="N70" i="27"/>
  <c r="C71" i="27"/>
  <c r="G71" i="27"/>
  <c r="I71" i="27"/>
  <c r="M71" i="27"/>
  <c r="N71" i="27"/>
  <c r="C72" i="27"/>
  <c r="G72" i="27"/>
  <c r="I72" i="27"/>
  <c r="M72" i="27"/>
  <c r="N72" i="27"/>
  <c r="C73" i="27"/>
  <c r="G73" i="27"/>
  <c r="I73" i="27"/>
  <c r="M73" i="27"/>
  <c r="N73" i="27"/>
  <c r="C74" i="27"/>
  <c r="G74" i="27"/>
  <c r="M74" i="27"/>
  <c r="N74" i="27"/>
  <c r="D76" i="27"/>
  <c r="E76" i="27"/>
  <c r="I76" i="27"/>
  <c r="H77" i="27"/>
  <c r="C79" i="27"/>
  <c r="E79" i="27"/>
  <c r="F79" i="27"/>
  <c r="G79" i="27"/>
  <c r="M79" i="27"/>
  <c r="N79" i="27"/>
  <c r="C80" i="27"/>
  <c r="E80" i="27"/>
  <c r="G80" i="27"/>
  <c r="M80" i="27"/>
  <c r="N80" i="27"/>
  <c r="C81" i="27"/>
  <c r="G81" i="27"/>
  <c r="I81" i="27"/>
  <c r="M81" i="27"/>
  <c r="N81" i="27"/>
  <c r="C82" i="27"/>
  <c r="E82" i="27"/>
  <c r="G82" i="27"/>
  <c r="M82" i="27"/>
  <c r="N82" i="27"/>
  <c r="C83" i="27"/>
  <c r="E83" i="27"/>
  <c r="G83" i="27"/>
  <c r="M83" i="27"/>
  <c r="N83" i="27"/>
  <c r="C84" i="27"/>
  <c r="E84" i="27"/>
  <c r="G84" i="27"/>
  <c r="M84" i="27"/>
  <c r="N84" i="27"/>
  <c r="F85" i="27"/>
  <c r="D86" i="27"/>
  <c r="I86" i="27"/>
  <c r="H87" i="27"/>
  <c r="I87" i="27"/>
  <c r="C89" i="27"/>
  <c r="E89" i="27"/>
  <c r="F89" i="27"/>
  <c r="G89" i="27"/>
  <c r="M89" i="27"/>
  <c r="N89" i="27"/>
  <c r="C90" i="27"/>
  <c r="E90" i="27"/>
  <c r="G90" i="27"/>
  <c r="M90" i="27"/>
  <c r="N90" i="27"/>
  <c r="C91" i="27"/>
  <c r="G91" i="27"/>
  <c r="M91" i="27"/>
  <c r="N91" i="27"/>
  <c r="C92" i="27"/>
  <c r="G92" i="27"/>
  <c r="I92" i="27"/>
  <c r="M92" i="27"/>
  <c r="N92" i="27"/>
  <c r="C93" i="27"/>
  <c r="G93" i="27"/>
  <c r="M93" i="27"/>
  <c r="N93" i="27"/>
  <c r="C94" i="27"/>
  <c r="E94" i="27"/>
  <c r="G94" i="27"/>
  <c r="M94" i="27"/>
  <c r="N94" i="27"/>
  <c r="I95" i="27"/>
  <c r="E95" i="27"/>
  <c r="B95" i="27"/>
  <c r="D96" i="27"/>
  <c r="E96" i="27"/>
  <c r="I96" i="27"/>
  <c r="H97" i="27"/>
  <c r="C99" i="27"/>
  <c r="F99" i="27"/>
  <c r="G99" i="27"/>
  <c r="M99" i="27"/>
  <c r="N99" i="27"/>
  <c r="C100" i="27"/>
  <c r="E100" i="27"/>
  <c r="G100" i="27"/>
  <c r="I100" i="27"/>
  <c r="M100" i="27"/>
  <c r="N100" i="27"/>
  <c r="C101" i="27"/>
  <c r="G101" i="27"/>
  <c r="M101" i="27"/>
  <c r="N101" i="27"/>
  <c r="C102" i="27"/>
  <c r="E102" i="27"/>
  <c r="G102" i="27"/>
  <c r="I102" i="27"/>
  <c r="M102" i="27"/>
  <c r="N102" i="27"/>
  <c r="C103" i="27"/>
  <c r="G103" i="27"/>
  <c r="I103" i="27"/>
  <c r="M103" i="27"/>
  <c r="N103" i="27"/>
  <c r="C104" i="27"/>
  <c r="E104" i="27"/>
  <c r="G104" i="27"/>
  <c r="I104" i="27"/>
  <c r="M104" i="27"/>
  <c r="N104" i="27"/>
  <c r="F105" i="27"/>
  <c r="D106" i="27"/>
  <c r="I106" i="27"/>
  <c r="H107" i="27"/>
  <c r="B108" i="27"/>
  <c r="C109" i="27"/>
  <c r="F109" i="27"/>
  <c r="G109" i="27"/>
  <c r="M109" i="27"/>
  <c r="N109" i="27"/>
  <c r="C110" i="27"/>
  <c r="E110" i="27"/>
  <c r="G110" i="27"/>
  <c r="M110" i="27"/>
  <c r="N110" i="27"/>
  <c r="C111" i="27"/>
  <c r="G111" i="27"/>
  <c r="M111" i="27"/>
  <c r="N111" i="27"/>
  <c r="C112" i="27"/>
  <c r="G112" i="27"/>
  <c r="M112" i="27"/>
  <c r="N112" i="27"/>
  <c r="C113" i="27"/>
  <c r="G113" i="27"/>
  <c r="I113" i="27"/>
  <c r="M113" i="27"/>
  <c r="N113" i="27"/>
  <c r="C114" i="27"/>
  <c r="G114" i="27"/>
  <c r="M114" i="27"/>
  <c r="N114" i="27"/>
  <c r="F115" i="27"/>
  <c r="D116" i="27"/>
  <c r="E116" i="27"/>
  <c r="I116" i="27"/>
  <c r="H117" i="27"/>
  <c r="C119" i="27"/>
  <c r="E119" i="27"/>
  <c r="F119" i="27"/>
  <c r="G119" i="27"/>
  <c r="M119" i="27"/>
  <c r="N119" i="27"/>
  <c r="C120" i="27"/>
  <c r="E120" i="27"/>
  <c r="G120" i="27"/>
  <c r="M120" i="27"/>
  <c r="N120" i="27"/>
  <c r="C121" i="27"/>
  <c r="G121" i="27"/>
  <c r="M121" i="27"/>
  <c r="N121" i="27"/>
  <c r="C122" i="27"/>
  <c r="E122" i="27"/>
  <c r="G122" i="27"/>
  <c r="M122" i="27"/>
  <c r="N122" i="27"/>
  <c r="C123" i="27"/>
  <c r="E123" i="27"/>
  <c r="G123" i="27"/>
  <c r="M123" i="27"/>
  <c r="N123" i="27"/>
  <c r="C124" i="27"/>
  <c r="E124" i="27"/>
  <c r="G124" i="27"/>
  <c r="M124" i="27"/>
  <c r="N124" i="27"/>
  <c r="F125" i="27"/>
  <c r="D126" i="27"/>
  <c r="I126" i="27"/>
  <c r="H127" i="27"/>
  <c r="C131" i="27"/>
  <c r="F131" i="27"/>
  <c r="G131" i="27"/>
  <c r="M131" i="27"/>
  <c r="N131" i="27"/>
  <c r="C132" i="27"/>
  <c r="E132" i="27"/>
  <c r="G132" i="27"/>
  <c r="I132" i="27"/>
  <c r="M132" i="27"/>
  <c r="N132" i="27"/>
  <c r="C133" i="27"/>
  <c r="E133" i="27"/>
  <c r="G133" i="27"/>
  <c r="M133" i="27"/>
  <c r="N133" i="27"/>
  <c r="C134" i="27"/>
  <c r="E134" i="27"/>
  <c r="G134" i="27"/>
  <c r="M134" i="27"/>
  <c r="N134" i="27"/>
  <c r="C135" i="27"/>
  <c r="G135" i="27"/>
  <c r="M135" i="27"/>
  <c r="N135" i="27"/>
  <c r="C136" i="27"/>
  <c r="E136" i="27"/>
  <c r="G136" i="27"/>
  <c r="M136" i="27"/>
  <c r="N136" i="27"/>
  <c r="D138" i="27"/>
  <c r="I138" i="27"/>
  <c r="B142" i="27"/>
  <c r="B160" i="27"/>
  <c r="H163" i="27"/>
  <c r="B166" i="27"/>
  <c r="H166" i="27"/>
  <c r="B170" i="27"/>
  <c r="B176" i="27"/>
  <c r="C5" i="19"/>
  <c r="E5" i="19"/>
  <c r="H5" i="19"/>
  <c r="K5" i="19"/>
  <c r="C6" i="19"/>
  <c r="D6" i="19"/>
  <c r="I6" i="19"/>
  <c r="J6" i="19"/>
  <c r="K6" i="19"/>
  <c r="B7" i="19"/>
  <c r="D7" i="19"/>
  <c r="I7" i="19"/>
  <c r="J7" i="19"/>
  <c r="K7" i="19"/>
  <c r="B8" i="19"/>
  <c r="C8" i="19"/>
  <c r="I8" i="19"/>
  <c r="J8" i="19"/>
  <c r="K8" i="19"/>
  <c r="C9" i="19"/>
  <c r="I9" i="19"/>
  <c r="J9" i="19"/>
  <c r="K9" i="19"/>
  <c r="C10" i="19"/>
  <c r="D10" i="19"/>
  <c r="I10" i="19"/>
  <c r="J10" i="19"/>
  <c r="K10" i="19"/>
  <c r="B11" i="19"/>
  <c r="D11" i="19"/>
  <c r="I11" i="19"/>
  <c r="J11" i="19"/>
  <c r="K11" i="19"/>
  <c r="B12" i="19"/>
  <c r="C12" i="19"/>
  <c r="I12" i="19"/>
  <c r="J12" i="19"/>
  <c r="K12" i="19"/>
  <c r="I13" i="19"/>
  <c r="J13" i="19"/>
  <c r="K13" i="19"/>
  <c r="C14" i="19"/>
  <c r="D14" i="19"/>
  <c r="I14" i="19"/>
  <c r="J14" i="19"/>
  <c r="K14" i="19"/>
  <c r="B15" i="19"/>
  <c r="D15" i="19"/>
  <c r="F15" i="19"/>
  <c r="I15" i="19"/>
  <c r="J15" i="19"/>
  <c r="K15" i="19"/>
  <c r="B16" i="19"/>
  <c r="C16" i="19"/>
  <c r="I16" i="19"/>
  <c r="J16" i="19"/>
  <c r="K16" i="19"/>
  <c r="B17" i="19"/>
  <c r="C17" i="19"/>
  <c r="I17" i="19"/>
  <c r="J17" i="19"/>
  <c r="K17" i="19"/>
  <c r="C18" i="19"/>
  <c r="C19" i="19"/>
  <c r="D19" i="19"/>
  <c r="I19" i="19"/>
  <c r="J19" i="19"/>
  <c r="K19" i="19"/>
  <c r="C20" i="19"/>
  <c r="I20" i="19"/>
  <c r="J20" i="19"/>
  <c r="K20" i="19"/>
  <c r="D21" i="19"/>
  <c r="I21" i="19"/>
  <c r="J21" i="19"/>
  <c r="K21" i="19"/>
  <c r="C22" i="19"/>
  <c r="I22" i="19"/>
  <c r="J22" i="19"/>
  <c r="K22" i="19"/>
  <c r="B25" i="19"/>
  <c r="B28" i="19"/>
  <c r="B29" i="19"/>
  <c r="B31" i="19"/>
  <c r="B32" i="19"/>
  <c r="E1" i="18"/>
  <c r="U4" i="18"/>
  <c r="K70" i="18"/>
  <c r="P6" i="18"/>
  <c r="E11" i="18"/>
  <c r="G11" i="18"/>
  <c r="I12" i="18"/>
  <c r="J12" i="18"/>
  <c r="I13" i="18"/>
  <c r="J13" i="18"/>
  <c r="B14" i="18"/>
  <c r="C18" i="18"/>
  <c r="K18" i="18"/>
  <c r="B20" i="18"/>
  <c r="C20" i="18"/>
  <c r="D20" i="18"/>
  <c r="E20" i="18"/>
  <c r="G20" i="18"/>
  <c r="H20" i="18"/>
  <c r="I20" i="18"/>
  <c r="P20" i="18"/>
  <c r="J20" i="18"/>
  <c r="B21" i="18"/>
  <c r="C21" i="18"/>
  <c r="D21" i="18"/>
  <c r="E21" i="18"/>
  <c r="G21" i="18"/>
  <c r="H21" i="18"/>
  <c r="I21" i="18"/>
  <c r="P21" i="18" s="1"/>
  <c r="J21" i="18"/>
  <c r="B22" i="18"/>
  <c r="C22" i="18"/>
  <c r="D22" i="18"/>
  <c r="E22" i="18"/>
  <c r="G22" i="18"/>
  <c r="H22" i="18"/>
  <c r="I22" i="18"/>
  <c r="P22" i="18"/>
  <c r="J22" i="18"/>
  <c r="B23" i="18"/>
  <c r="C23" i="18"/>
  <c r="D23" i="18"/>
  <c r="E23" i="18"/>
  <c r="G23" i="18"/>
  <c r="H23" i="18"/>
  <c r="I23" i="18"/>
  <c r="P23" i="18" s="1"/>
  <c r="J23" i="18"/>
  <c r="B24" i="18"/>
  <c r="C24" i="18"/>
  <c r="D24" i="18"/>
  <c r="E24" i="18"/>
  <c r="G24" i="18"/>
  <c r="H24" i="18"/>
  <c r="I24" i="18"/>
  <c r="P24" i="18"/>
  <c r="J24" i="18"/>
  <c r="B25" i="18"/>
  <c r="C25" i="18"/>
  <c r="D25" i="18"/>
  <c r="E25" i="18"/>
  <c r="G25" i="18"/>
  <c r="H25" i="18"/>
  <c r="I25" i="18"/>
  <c r="P25" i="18" s="1"/>
  <c r="J25" i="18"/>
  <c r="B26" i="18"/>
  <c r="C26" i="18"/>
  <c r="D26" i="18"/>
  <c r="E26" i="18"/>
  <c r="G26" i="18"/>
  <c r="H26" i="18"/>
  <c r="I26" i="18"/>
  <c r="P26" i="18"/>
  <c r="J26" i="18"/>
  <c r="B27" i="18"/>
  <c r="C27" i="18"/>
  <c r="D27" i="18"/>
  <c r="F27" i="18" s="1"/>
  <c r="L27" i="18" s="1"/>
  <c r="E27" i="18"/>
  <c r="G27" i="18"/>
  <c r="H27" i="18"/>
  <c r="I27" i="18"/>
  <c r="P27" i="18" s="1"/>
  <c r="J27" i="18"/>
  <c r="B28" i="18"/>
  <c r="C28" i="18"/>
  <c r="D28" i="18"/>
  <c r="E28" i="18"/>
  <c r="F28" i="18" s="1"/>
  <c r="G28" i="18"/>
  <c r="H28" i="18"/>
  <c r="I28" i="18"/>
  <c r="P28" i="18" s="1"/>
  <c r="J28" i="18"/>
  <c r="B29" i="18"/>
  <c r="C29" i="18"/>
  <c r="D29" i="18"/>
  <c r="E29" i="18"/>
  <c r="G29" i="18"/>
  <c r="H29" i="18"/>
  <c r="I29" i="18"/>
  <c r="P29" i="18"/>
  <c r="J29" i="18"/>
  <c r="B30" i="18"/>
  <c r="C30" i="18"/>
  <c r="D30" i="18"/>
  <c r="E30" i="18"/>
  <c r="G30" i="18"/>
  <c r="H30" i="18"/>
  <c r="I30" i="18"/>
  <c r="P30" i="18" s="1"/>
  <c r="J30" i="18"/>
  <c r="B31" i="18"/>
  <c r="C31" i="18"/>
  <c r="D31" i="18"/>
  <c r="E31" i="18"/>
  <c r="G31" i="18"/>
  <c r="H31" i="18"/>
  <c r="I31" i="18"/>
  <c r="P31" i="18"/>
  <c r="J31" i="18"/>
  <c r="B32" i="18"/>
  <c r="C32" i="18"/>
  <c r="D32" i="18"/>
  <c r="E32" i="18"/>
  <c r="G32" i="18"/>
  <c r="H32" i="18"/>
  <c r="I32" i="18"/>
  <c r="P32" i="18" s="1"/>
  <c r="J32" i="18"/>
  <c r="B33" i="18"/>
  <c r="C33" i="18"/>
  <c r="D33" i="18"/>
  <c r="E33" i="18"/>
  <c r="G33" i="18"/>
  <c r="H33" i="18"/>
  <c r="I33" i="18"/>
  <c r="P33" i="18"/>
  <c r="J33" i="18"/>
  <c r="B34" i="18"/>
  <c r="C34" i="18"/>
  <c r="D34" i="18"/>
  <c r="E34" i="18"/>
  <c r="G34" i="18"/>
  <c r="H34" i="18"/>
  <c r="I34" i="18"/>
  <c r="P34" i="18" s="1"/>
  <c r="J34" i="18"/>
  <c r="B35" i="18"/>
  <c r="C35" i="18"/>
  <c r="D35" i="18"/>
  <c r="E35" i="18"/>
  <c r="G35" i="18"/>
  <c r="H35" i="18"/>
  <c r="I35" i="18"/>
  <c r="P35" i="18"/>
  <c r="J35" i="18"/>
  <c r="B36" i="18"/>
  <c r="C36" i="18"/>
  <c r="D36" i="18"/>
  <c r="E36" i="18"/>
  <c r="F36" i="18" s="1"/>
  <c r="G36" i="18"/>
  <c r="H36" i="18"/>
  <c r="I36" i="18"/>
  <c r="P36" i="18"/>
  <c r="J36" i="18"/>
  <c r="B37" i="18"/>
  <c r="C37" i="18"/>
  <c r="D37" i="18"/>
  <c r="E37" i="18"/>
  <c r="G37" i="18"/>
  <c r="H37" i="18"/>
  <c r="I37" i="18"/>
  <c r="P37" i="18"/>
  <c r="J37" i="18"/>
  <c r="B38" i="18"/>
  <c r="C38" i="18"/>
  <c r="D38" i="18"/>
  <c r="E38" i="18"/>
  <c r="G38" i="18"/>
  <c r="H38" i="18"/>
  <c r="I38" i="18"/>
  <c r="P38" i="18" s="1"/>
  <c r="J38" i="18"/>
  <c r="B39" i="18"/>
  <c r="C39" i="18"/>
  <c r="D39" i="18"/>
  <c r="E39" i="18"/>
  <c r="G39" i="18"/>
  <c r="H39" i="18"/>
  <c r="I39" i="18"/>
  <c r="P39" i="18"/>
  <c r="J39" i="18"/>
  <c r="B40" i="18"/>
  <c r="C40" i="18"/>
  <c r="F40" i="18"/>
  <c r="D40" i="18"/>
  <c r="E40" i="18"/>
  <c r="G40" i="18"/>
  <c r="H40" i="18"/>
  <c r="I40" i="18"/>
  <c r="P40" i="18"/>
  <c r="J40" i="18"/>
  <c r="B41" i="18"/>
  <c r="C41" i="18"/>
  <c r="D41" i="18"/>
  <c r="E41" i="18"/>
  <c r="G41" i="18"/>
  <c r="H41" i="18"/>
  <c r="I41" i="18"/>
  <c r="P41" i="18" s="1"/>
  <c r="J41" i="18"/>
  <c r="B42" i="18"/>
  <c r="C42" i="18"/>
  <c r="D42" i="18"/>
  <c r="E42" i="18"/>
  <c r="G42" i="18"/>
  <c r="H42" i="18"/>
  <c r="I42" i="18"/>
  <c r="P42" i="18"/>
  <c r="J42" i="18"/>
  <c r="B43" i="18"/>
  <c r="C43" i="18"/>
  <c r="D43" i="18"/>
  <c r="E43" i="18"/>
  <c r="G43" i="18"/>
  <c r="H43" i="18"/>
  <c r="I43" i="18"/>
  <c r="P43" i="18" s="1"/>
  <c r="J43" i="18"/>
  <c r="B44" i="18"/>
  <c r="C44" i="18"/>
  <c r="D44" i="18"/>
  <c r="E44" i="18"/>
  <c r="G44" i="18"/>
  <c r="H44" i="18"/>
  <c r="I44" i="18"/>
  <c r="P44" i="18"/>
  <c r="J44" i="18"/>
  <c r="B45" i="18"/>
  <c r="C45" i="18"/>
  <c r="D45" i="18"/>
  <c r="E45" i="18"/>
  <c r="G45" i="18"/>
  <c r="H45" i="18"/>
  <c r="I45" i="18"/>
  <c r="P45" i="18" s="1"/>
  <c r="J45" i="18"/>
  <c r="B46" i="18"/>
  <c r="C46" i="18"/>
  <c r="D46" i="18"/>
  <c r="E46" i="18"/>
  <c r="G46" i="18"/>
  <c r="H46" i="18"/>
  <c r="I46" i="18"/>
  <c r="P46" i="18"/>
  <c r="J46" i="18"/>
  <c r="B47" i="18"/>
  <c r="C47" i="18"/>
  <c r="D47" i="18"/>
  <c r="E47" i="18"/>
  <c r="G47" i="18"/>
  <c r="H47" i="18"/>
  <c r="I47" i="18"/>
  <c r="P47" i="18" s="1"/>
  <c r="J47" i="18"/>
  <c r="B48" i="18"/>
  <c r="C48" i="18"/>
  <c r="D48" i="18"/>
  <c r="E48" i="18"/>
  <c r="G48" i="18"/>
  <c r="H48" i="18"/>
  <c r="I48" i="18"/>
  <c r="P48" i="18"/>
  <c r="J48" i="18"/>
  <c r="B49" i="18"/>
  <c r="C49" i="18"/>
  <c r="D49" i="18"/>
  <c r="E49" i="18"/>
  <c r="G49" i="18"/>
  <c r="H49" i="18"/>
  <c r="I49" i="18"/>
  <c r="P49" i="18" s="1"/>
  <c r="J49" i="18"/>
  <c r="B50" i="18"/>
  <c r="C50" i="18"/>
  <c r="D50" i="18"/>
  <c r="E50" i="18"/>
  <c r="G50" i="18"/>
  <c r="H50" i="18"/>
  <c r="I50" i="18"/>
  <c r="P50" i="18"/>
  <c r="J50" i="18"/>
  <c r="B51" i="18"/>
  <c r="C51" i="18"/>
  <c r="D51" i="18"/>
  <c r="E51" i="18"/>
  <c r="F51" i="18" s="1"/>
  <c r="G51" i="18"/>
  <c r="H51" i="18"/>
  <c r="I51" i="18"/>
  <c r="P51" i="18"/>
  <c r="J51" i="18"/>
  <c r="C52" i="18"/>
  <c r="H52" i="18"/>
  <c r="B53" i="18"/>
  <c r="C53" i="18"/>
  <c r="D53" i="18"/>
  <c r="F53" i="18" s="1"/>
  <c r="E53" i="18"/>
  <c r="G53" i="18"/>
  <c r="H53" i="18"/>
  <c r="I53" i="18"/>
  <c r="P53" i="18"/>
  <c r="J53" i="18"/>
  <c r="B54" i="18"/>
  <c r="C54" i="18"/>
  <c r="D54" i="18"/>
  <c r="E54" i="18"/>
  <c r="F54" i="18" s="1"/>
  <c r="G54" i="18"/>
  <c r="H54" i="18"/>
  <c r="I54" i="18"/>
  <c r="P54" i="18"/>
  <c r="J54" i="18"/>
  <c r="B55" i="18"/>
  <c r="C55" i="18"/>
  <c r="D55" i="18"/>
  <c r="E55" i="18"/>
  <c r="G55" i="18"/>
  <c r="H55" i="18"/>
  <c r="I55" i="18"/>
  <c r="P55" i="18" s="1"/>
  <c r="J55" i="18"/>
  <c r="B56" i="18"/>
  <c r="C56" i="18"/>
  <c r="D56" i="18"/>
  <c r="E56" i="18"/>
  <c r="G56" i="18"/>
  <c r="H56" i="18"/>
  <c r="I56" i="18"/>
  <c r="P56" i="18"/>
  <c r="J56" i="18"/>
  <c r="B57" i="18"/>
  <c r="C57" i="18"/>
  <c r="D57" i="18"/>
  <c r="G57" i="18"/>
  <c r="H57" i="18"/>
  <c r="I57" i="18"/>
  <c r="P57" i="18"/>
  <c r="J57" i="18"/>
  <c r="B58" i="18"/>
  <c r="C58" i="18"/>
  <c r="D58" i="18"/>
  <c r="G58" i="18"/>
  <c r="H58" i="18"/>
  <c r="I58" i="18"/>
  <c r="P58" i="18"/>
  <c r="J58" i="18"/>
  <c r="B59" i="18"/>
  <c r="C59" i="18"/>
  <c r="D59" i="18"/>
  <c r="G59" i="18"/>
  <c r="H59" i="18"/>
  <c r="I59" i="18"/>
  <c r="P59" i="18" s="1"/>
  <c r="J59" i="18"/>
  <c r="B60" i="18"/>
  <c r="G60" i="18"/>
  <c r="H60" i="18"/>
  <c r="I60" i="18"/>
  <c r="P60" i="18" s="1"/>
  <c r="J60" i="18"/>
  <c r="C61" i="18"/>
  <c r="D61" i="18"/>
  <c r="E61" i="18"/>
  <c r="G61" i="18"/>
  <c r="H61" i="18"/>
  <c r="I61" i="18"/>
  <c r="P61" i="18" s="1"/>
  <c r="J61" i="18"/>
  <c r="C62" i="18"/>
  <c r="D62" i="18"/>
  <c r="E62" i="18"/>
  <c r="G62" i="18"/>
  <c r="H62" i="18"/>
  <c r="I62" i="18"/>
  <c r="P62" i="18" s="1"/>
  <c r="J62" i="18"/>
  <c r="C63" i="18"/>
  <c r="D63" i="18"/>
  <c r="E63" i="18"/>
  <c r="F63" i="18" s="1"/>
  <c r="G63" i="18"/>
  <c r="H63" i="18"/>
  <c r="I63" i="18"/>
  <c r="P63" i="18"/>
  <c r="J63" i="18"/>
  <c r="C64" i="18"/>
  <c r="D64" i="18"/>
  <c r="E64" i="18"/>
  <c r="G64" i="18"/>
  <c r="H64" i="18"/>
  <c r="I64" i="18"/>
  <c r="P64" i="18"/>
  <c r="J64" i="18"/>
  <c r="E69" i="18"/>
  <c r="B70" i="18"/>
  <c r="B73" i="18"/>
  <c r="G75" i="18"/>
  <c r="B77" i="18"/>
  <c r="B78" i="18"/>
  <c r="G78" i="18"/>
  <c r="G79" i="18"/>
  <c r="H79" i="18"/>
  <c r="G80" i="18"/>
  <c r="B81" i="18"/>
  <c r="F81" i="18"/>
  <c r="G81" i="18"/>
  <c r="H81" i="18"/>
  <c r="G82" i="18"/>
  <c r="H82" i="18"/>
  <c r="G85" i="18"/>
  <c r="K85" i="18"/>
  <c r="B87" i="18"/>
  <c r="B92" i="18"/>
  <c r="C5" i="17"/>
  <c r="E5" i="17"/>
  <c r="G5" i="17"/>
  <c r="I5" i="17"/>
  <c r="C7" i="17"/>
  <c r="E7" i="17"/>
  <c r="G7" i="17"/>
  <c r="I7" i="17"/>
  <c r="C8" i="17"/>
  <c r="E8" i="17"/>
  <c r="G8" i="17"/>
  <c r="I8" i="17"/>
  <c r="C9" i="17"/>
  <c r="E9" i="17"/>
  <c r="G9" i="17"/>
  <c r="I9" i="17"/>
  <c r="F10" i="17"/>
  <c r="H10" i="17" s="1"/>
  <c r="C58" i="17"/>
  <c r="E58" i="17"/>
  <c r="C59" i="17"/>
  <c r="E59" i="17"/>
  <c r="G59" i="17"/>
  <c r="I59" i="17"/>
  <c r="B4" i="47"/>
  <c r="D4" i="47"/>
  <c r="F4" i="47"/>
  <c r="H4" i="47"/>
  <c r="C5" i="47"/>
  <c r="E57" i="18"/>
  <c r="E5" i="47"/>
  <c r="E58" i="18"/>
  <c r="G5" i="47"/>
  <c r="E59" i="18"/>
  <c r="I5" i="47"/>
  <c r="E60" i="18"/>
  <c r="C7" i="47"/>
  <c r="E7" i="47"/>
  <c r="G7" i="47"/>
  <c r="I7" i="47"/>
  <c r="C8" i="47"/>
  <c r="E8" i="47"/>
  <c r="G8" i="47"/>
  <c r="I8" i="47"/>
  <c r="C9" i="47"/>
  <c r="E9" i="47"/>
  <c r="G9" i="47"/>
  <c r="I9" i="47"/>
  <c r="B10" i="47"/>
  <c r="D10" i="47" s="1"/>
  <c r="F10" i="47" s="1"/>
  <c r="H10" i="47" s="1"/>
  <c r="B58" i="47"/>
  <c r="D58" i="47" s="1"/>
  <c r="F58" i="47" s="1"/>
  <c r="H58" i="47" s="1"/>
  <c r="C58" i="47"/>
  <c r="E58" i="47"/>
  <c r="G58" i="47"/>
  <c r="I58" i="47"/>
  <c r="B59" i="47"/>
  <c r="D59" i="47" s="1"/>
  <c r="F59" i="47" s="1"/>
  <c r="H59" i="47" s="1"/>
  <c r="C59" i="47"/>
  <c r="E59" i="47"/>
  <c r="G59" i="47"/>
  <c r="B4" i="16"/>
  <c r="D4" i="16"/>
  <c r="F4" i="16"/>
  <c r="H4" i="16"/>
  <c r="C5" i="16"/>
  <c r="E5" i="16"/>
  <c r="G5" i="16"/>
  <c r="I5" i="16"/>
  <c r="C7" i="16"/>
  <c r="E7" i="16"/>
  <c r="G7" i="16"/>
  <c r="I7" i="16"/>
  <c r="C8" i="16"/>
  <c r="E8" i="16"/>
  <c r="G8" i="16"/>
  <c r="I8" i="16"/>
  <c r="C9" i="16"/>
  <c r="E9" i="16"/>
  <c r="G9" i="16"/>
  <c r="I9" i="16"/>
  <c r="B10" i="16"/>
  <c r="B10" i="17"/>
  <c r="D10" i="17" s="1"/>
  <c r="B58" i="16"/>
  <c r="B58" i="17" s="1"/>
  <c r="D58" i="17" s="1"/>
  <c r="C58" i="16"/>
  <c r="E58" i="16"/>
  <c r="G58" i="16"/>
  <c r="I58" i="16"/>
  <c r="B59" i="16"/>
  <c r="D59" i="16"/>
  <c r="F59" i="16" s="1"/>
  <c r="H59" i="16" s="1"/>
  <c r="C59" i="16"/>
  <c r="E59" i="16"/>
  <c r="G59" i="16"/>
  <c r="I59" i="16"/>
  <c r="A25" i="1"/>
  <c r="B6" i="46"/>
  <c r="D6" i="46"/>
  <c r="F6" i="46"/>
  <c r="H6" i="46"/>
  <c r="C7" i="46"/>
  <c r="E7" i="46"/>
  <c r="G7" i="46"/>
  <c r="I7" i="46"/>
  <c r="C9" i="46"/>
  <c r="E9" i="46"/>
  <c r="G9" i="46"/>
  <c r="I9" i="46"/>
  <c r="C10" i="46"/>
  <c r="E10" i="46"/>
  <c r="G10" i="46"/>
  <c r="I10" i="46"/>
  <c r="C11" i="46"/>
  <c r="E11" i="46"/>
  <c r="G11" i="46"/>
  <c r="I11" i="46"/>
  <c r="C58" i="46"/>
  <c r="E58" i="46"/>
  <c r="G58" i="46"/>
  <c r="I58" i="46"/>
  <c r="B6" i="45"/>
  <c r="D6" i="45"/>
  <c r="F6" i="45"/>
  <c r="H6" i="45"/>
  <c r="C7" i="45"/>
  <c r="E7" i="45"/>
  <c r="G7" i="45"/>
  <c r="I7" i="45"/>
  <c r="C9" i="45"/>
  <c r="E9" i="45"/>
  <c r="G9" i="45"/>
  <c r="I9" i="45"/>
  <c r="C10" i="45"/>
  <c r="E10" i="45"/>
  <c r="G10" i="45"/>
  <c r="I10" i="45"/>
  <c r="C11" i="45"/>
  <c r="E11" i="45"/>
  <c r="G11" i="45"/>
  <c r="I11" i="45"/>
  <c r="C58" i="45"/>
  <c r="E58" i="45"/>
  <c r="G58" i="45"/>
  <c r="I58" i="45"/>
  <c r="B6" i="44"/>
  <c r="D6" i="44"/>
  <c r="F6" i="44"/>
  <c r="H6" i="44"/>
  <c r="C7" i="44"/>
  <c r="E7" i="44"/>
  <c r="G7" i="44"/>
  <c r="I7" i="44"/>
  <c r="C9" i="44"/>
  <c r="E9" i="44"/>
  <c r="G9" i="44"/>
  <c r="I9" i="44"/>
  <c r="C10" i="44"/>
  <c r="E10" i="44"/>
  <c r="G10" i="44"/>
  <c r="I10" i="44"/>
  <c r="C11" i="44"/>
  <c r="E11" i="44"/>
  <c r="G11" i="44"/>
  <c r="I11" i="44"/>
  <c r="C58" i="44"/>
  <c r="E58" i="44"/>
  <c r="G58" i="44"/>
  <c r="I58" i="44"/>
  <c r="B4" i="43"/>
  <c r="D4" i="43" s="1"/>
  <c r="F4" i="43" s="1"/>
  <c r="H4" i="43" s="1"/>
  <c r="B6" i="43"/>
  <c r="D6" i="43"/>
  <c r="H6" i="43"/>
  <c r="C7" i="43"/>
  <c r="E7" i="43"/>
  <c r="G7" i="43"/>
  <c r="I7" i="43"/>
  <c r="C9" i="43"/>
  <c r="E9" i="43"/>
  <c r="G9" i="43"/>
  <c r="I9" i="43"/>
  <c r="C10" i="43"/>
  <c r="E10" i="43"/>
  <c r="G10" i="43"/>
  <c r="I10" i="43"/>
  <c r="C11" i="43"/>
  <c r="E11" i="43"/>
  <c r="G11" i="43"/>
  <c r="I11" i="43"/>
  <c r="B58" i="43"/>
  <c r="B58" i="44"/>
  <c r="C58" i="43"/>
  <c r="E58" i="43"/>
  <c r="G58" i="43"/>
  <c r="I58" i="43"/>
  <c r="B60" i="43"/>
  <c r="B60" i="44"/>
  <c r="B6" i="35"/>
  <c r="D6" i="35"/>
  <c r="F6" i="35"/>
  <c r="H6" i="35"/>
  <c r="C7" i="35"/>
  <c r="E7" i="35"/>
  <c r="G7" i="35"/>
  <c r="I7" i="35"/>
  <c r="C9" i="35"/>
  <c r="E9" i="35"/>
  <c r="G9" i="35"/>
  <c r="I9" i="35"/>
  <c r="C10" i="35"/>
  <c r="E10" i="35"/>
  <c r="G10" i="35"/>
  <c r="I10" i="35"/>
  <c r="C11" i="35"/>
  <c r="E11" i="35"/>
  <c r="G11" i="35"/>
  <c r="I11" i="35"/>
  <c r="C58" i="35"/>
  <c r="E58" i="35"/>
  <c r="G58" i="35"/>
  <c r="I58" i="35"/>
  <c r="B6" i="15"/>
  <c r="D6" i="15"/>
  <c r="F6" i="15"/>
  <c r="H6" i="15"/>
  <c r="C7" i="15"/>
  <c r="E7" i="15"/>
  <c r="G7" i="15"/>
  <c r="I7" i="15"/>
  <c r="C9" i="15"/>
  <c r="E9" i="15"/>
  <c r="G9" i="15"/>
  <c r="I9" i="15"/>
  <c r="C10" i="15"/>
  <c r="E10" i="15"/>
  <c r="G10" i="15"/>
  <c r="I10" i="15"/>
  <c r="C11" i="15"/>
  <c r="E11" i="15"/>
  <c r="G11" i="15"/>
  <c r="I11" i="15"/>
  <c r="C58" i="15"/>
  <c r="E58" i="15"/>
  <c r="G58" i="15"/>
  <c r="I58" i="15"/>
  <c r="B6" i="14"/>
  <c r="D6" i="14"/>
  <c r="F6" i="14"/>
  <c r="H6" i="14"/>
  <c r="C7" i="14"/>
  <c r="E7" i="14"/>
  <c r="G7" i="14"/>
  <c r="I7" i="14"/>
  <c r="C9" i="14"/>
  <c r="E9" i="14"/>
  <c r="G9" i="14"/>
  <c r="I9" i="14"/>
  <c r="C10" i="14"/>
  <c r="E10" i="14"/>
  <c r="G10" i="14"/>
  <c r="I10" i="14"/>
  <c r="C11" i="14"/>
  <c r="E11" i="14"/>
  <c r="G11" i="14"/>
  <c r="I11" i="14"/>
  <c r="C58" i="14"/>
  <c r="E58" i="14"/>
  <c r="G58" i="14"/>
  <c r="I58" i="14"/>
  <c r="B4" i="13"/>
  <c r="B6" i="13"/>
  <c r="D6" i="13"/>
  <c r="F6" i="13"/>
  <c r="H6" i="13"/>
  <c r="C7" i="13"/>
  <c r="E7" i="13"/>
  <c r="G7" i="13"/>
  <c r="I7" i="13"/>
  <c r="C9" i="13"/>
  <c r="E9" i="13"/>
  <c r="G9" i="13"/>
  <c r="I9" i="13"/>
  <c r="C10" i="13"/>
  <c r="E10" i="13"/>
  <c r="G10" i="13"/>
  <c r="I10" i="13"/>
  <c r="C11" i="13"/>
  <c r="E11" i="13"/>
  <c r="G11" i="13"/>
  <c r="I11" i="13"/>
  <c r="B12" i="13"/>
  <c r="B12" i="14" s="1"/>
  <c r="B58" i="13"/>
  <c r="C58" i="13"/>
  <c r="E58" i="13"/>
  <c r="G58" i="13"/>
  <c r="I58" i="13"/>
  <c r="C6" i="12"/>
  <c r="C7" i="12"/>
  <c r="F7" i="12"/>
  <c r="C61" i="12"/>
  <c r="D61" i="12"/>
  <c r="F61" i="12"/>
  <c r="B64" i="12"/>
  <c r="B66" i="12"/>
  <c r="C6" i="11"/>
  <c r="B7" i="11"/>
  <c r="E7" i="11"/>
  <c r="C7" i="11"/>
  <c r="F7" i="11"/>
  <c r="D7" i="11"/>
  <c r="G7" i="11"/>
  <c r="C61" i="11"/>
  <c r="D61" i="11"/>
  <c r="F61" i="11"/>
  <c r="B62" i="11"/>
  <c r="C6" i="10"/>
  <c r="C7" i="10"/>
  <c r="F7" i="10"/>
  <c r="C61" i="10"/>
  <c r="D61" i="10"/>
  <c r="F61" i="10"/>
  <c r="B64" i="10"/>
  <c r="B66" i="10"/>
  <c r="C6" i="9"/>
  <c r="B7" i="9"/>
  <c r="E7" i="9"/>
  <c r="C7" i="9"/>
  <c r="F7" i="9"/>
  <c r="D7" i="9"/>
  <c r="G7" i="9"/>
  <c r="C61" i="9"/>
  <c r="D61" i="9"/>
  <c r="F61" i="9"/>
  <c r="B62" i="9"/>
  <c r="B66" i="9"/>
  <c r="B4" i="8"/>
  <c r="C6" i="8"/>
  <c r="F6" i="8"/>
  <c r="B7" i="8"/>
  <c r="E7" i="8"/>
  <c r="C7" i="8"/>
  <c r="F7" i="8"/>
  <c r="C61" i="8"/>
  <c r="Q82" i="18"/>
  <c r="D61" i="8"/>
  <c r="X82" i="18"/>
  <c r="F61" i="8"/>
  <c r="B64" i="8"/>
  <c r="B66" i="8"/>
  <c r="B5" i="7"/>
  <c r="E5" i="7"/>
  <c r="C5" i="7"/>
  <c r="F5" i="7"/>
  <c r="D5" i="7"/>
  <c r="G5" i="7"/>
  <c r="C61" i="7"/>
  <c r="D61" i="7"/>
  <c r="F61" i="7"/>
  <c r="G61" i="7"/>
  <c r="B65" i="7"/>
  <c r="C4" i="6"/>
  <c r="B5" i="6"/>
  <c r="E5" i="6"/>
  <c r="D5" i="6"/>
  <c r="G5" i="6"/>
  <c r="C61" i="6"/>
  <c r="D61" i="6"/>
  <c r="F61" i="6"/>
  <c r="G61" i="6"/>
  <c r="B65" i="6"/>
  <c r="B5" i="5"/>
  <c r="E5" i="5"/>
  <c r="C5" i="5"/>
  <c r="F5" i="5"/>
  <c r="C61" i="5"/>
  <c r="D61" i="5"/>
  <c r="E61" i="5"/>
  <c r="F61" i="5"/>
  <c r="G61" i="5"/>
  <c r="B63" i="5"/>
  <c r="F4" i="4"/>
  <c r="B5" i="4"/>
  <c r="E5" i="4"/>
  <c r="C5" i="4"/>
  <c r="F5" i="4"/>
  <c r="B61" i="4"/>
  <c r="C61" i="4"/>
  <c r="D61" i="4"/>
  <c r="F61" i="4"/>
  <c r="G61" i="4"/>
  <c r="B63" i="4"/>
  <c r="C4" i="3"/>
  <c r="F4" i="3"/>
  <c r="B5" i="3"/>
  <c r="E5" i="3"/>
  <c r="C5" i="3"/>
  <c r="F5" i="3"/>
  <c r="D5" i="3"/>
  <c r="G5" i="3"/>
  <c r="C61" i="3"/>
  <c r="D61" i="3"/>
  <c r="F61" i="3"/>
  <c r="G61" i="3"/>
  <c r="B63" i="3"/>
  <c r="H5" i="2"/>
  <c r="F12" i="2"/>
  <c r="I12" i="2"/>
  <c r="G12" i="2"/>
  <c r="H12" i="2"/>
  <c r="K12" i="2" s="1"/>
  <c r="N14" i="2"/>
  <c r="P14" i="2" s="1"/>
  <c r="R14" i="2"/>
  <c r="N15" i="2"/>
  <c r="P15" i="2"/>
  <c r="R15" i="2"/>
  <c r="T15" i="2"/>
  <c r="N16" i="2"/>
  <c r="P16" i="2"/>
  <c r="N17" i="2"/>
  <c r="N18" i="2"/>
  <c r="P18" i="2" s="1"/>
  <c r="N19" i="2"/>
  <c r="P19" i="2" s="1"/>
  <c r="N20" i="2"/>
  <c r="P20" i="2" s="1"/>
  <c r="N21" i="2"/>
  <c r="P21" i="2" s="1"/>
  <c r="N22" i="2"/>
  <c r="P22" i="2" s="1"/>
  <c r="R16" i="2"/>
  <c r="T16" i="2" s="1"/>
  <c r="R17" i="2"/>
  <c r="T17" i="2" s="1"/>
  <c r="R18" i="2"/>
  <c r="T18" i="2" s="1"/>
  <c r="R19" i="2"/>
  <c r="T19" i="2" s="1"/>
  <c r="R20" i="2"/>
  <c r="T20" i="2" s="1"/>
  <c r="R21" i="2"/>
  <c r="T21" i="2" s="1"/>
  <c r="R22" i="2"/>
  <c r="T22" i="2" s="1"/>
  <c r="T23" i="2" s="1"/>
  <c r="L83" i="18" s="1"/>
  <c r="F23" i="2"/>
  <c r="I23" i="2"/>
  <c r="B25" i="2"/>
  <c r="B60" i="2" s="1"/>
  <c r="H26" i="2"/>
  <c r="B10" i="13" s="1"/>
  <c r="B10" i="43"/>
  <c r="I26" i="2"/>
  <c r="I61" i="2"/>
  <c r="J26" i="2"/>
  <c r="B61" i="2"/>
  <c r="B71" i="2"/>
  <c r="B61" i="18"/>
  <c r="B73" i="2"/>
  <c r="J73" i="2"/>
  <c r="B77" i="2"/>
  <c r="B80" i="2"/>
  <c r="B62" i="16" s="1"/>
  <c r="B5" i="42"/>
  <c r="B7" i="42"/>
  <c r="B9" i="42"/>
  <c r="C13" i="42"/>
  <c r="D16" i="42"/>
  <c r="G18" i="42"/>
  <c r="D23" i="42"/>
  <c r="D24" i="42"/>
  <c r="D27" i="42"/>
  <c r="D31" i="42"/>
  <c r="C40" i="42"/>
  <c r="C42" i="42"/>
  <c r="E44" i="42"/>
  <c r="E46" i="42"/>
  <c r="E51" i="42"/>
  <c r="E52" i="42"/>
  <c r="C57" i="42"/>
  <c r="E61" i="42"/>
  <c r="E65" i="42"/>
  <c r="C70" i="42"/>
  <c r="C73" i="42"/>
  <c r="E73" i="42"/>
  <c r="E76" i="42"/>
  <c r="C81" i="42"/>
  <c r="E84" i="42"/>
  <c r="E88" i="42"/>
  <c r="E89" i="42"/>
  <c r="D5" i="38"/>
  <c r="B7" i="38"/>
  <c r="B12" i="38"/>
  <c r="D12" i="38"/>
  <c r="D14" i="38"/>
  <c r="F14" i="38"/>
  <c r="E6" i="1"/>
  <c r="E7" i="1"/>
  <c r="E8" i="1"/>
  <c r="E9" i="1"/>
  <c r="E10" i="1"/>
  <c r="E11" i="1"/>
  <c r="E12" i="1"/>
  <c r="E13" i="1"/>
  <c r="E14" i="1"/>
  <c r="E17" i="1"/>
  <c r="E18" i="1"/>
  <c r="E19" i="1"/>
  <c r="E20" i="1"/>
  <c r="E21" i="1"/>
  <c r="E22" i="1"/>
  <c r="E23" i="1"/>
  <c r="E24" i="1"/>
  <c r="E25" i="1"/>
  <c r="E26" i="1"/>
  <c r="E27" i="1"/>
  <c r="E28" i="1"/>
  <c r="E29" i="1"/>
  <c r="A30" i="1"/>
  <c r="E30" i="1"/>
  <c r="E31" i="1"/>
  <c r="E32" i="1"/>
  <c r="E33" i="1"/>
  <c r="E34" i="1"/>
  <c r="E35" i="1"/>
  <c r="A36" i="1"/>
  <c r="E36" i="1"/>
  <c r="A37" i="1"/>
  <c r="E37" i="1"/>
  <c r="A38" i="1"/>
  <c r="E38" i="1"/>
  <c r="E39" i="1"/>
  <c r="E40" i="1"/>
  <c r="E41" i="1"/>
  <c r="E42" i="1"/>
  <c r="E43" i="1"/>
  <c r="G16" i="38" s="1"/>
  <c r="E44" i="1"/>
  <c r="I48" i="37"/>
  <c r="I43" i="37"/>
  <c r="F43" i="37"/>
  <c r="I28" i="37"/>
  <c r="I23" i="37"/>
  <c r="F23" i="37"/>
  <c r="F22" i="34"/>
  <c r="F28" i="34"/>
  <c r="F32" i="34"/>
  <c r="F36" i="34"/>
  <c r="K128" i="37"/>
  <c r="H166" i="36"/>
  <c r="H160" i="37"/>
  <c r="E24" i="36"/>
  <c r="E44" i="36"/>
  <c r="E64" i="36"/>
  <c r="E76" i="36"/>
  <c r="E96" i="36"/>
  <c r="E116" i="36"/>
  <c r="E138" i="27"/>
  <c r="E24" i="37"/>
  <c r="E44" i="37"/>
  <c r="E64" i="37"/>
  <c r="E76" i="37"/>
  <c r="E96" i="37"/>
  <c r="E116" i="37"/>
  <c r="E138" i="36"/>
  <c r="E34" i="27"/>
  <c r="E54" i="27"/>
  <c r="E86" i="27"/>
  <c r="E106" i="27"/>
  <c r="E126" i="27"/>
  <c r="E138" i="37"/>
  <c r="E34" i="36"/>
  <c r="E54" i="36"/>
  <c r="E30" i="36"/>
  <c r="E50" i="36"/>
  <c r="E122" i="36"/>
  <c r="E134" i="36"/>
  <c r="E82" i="37"/>
  <c r="E102" i="37"/>
  <c r="E20" i="27"/>
  <c r="E40" i="27"/>
  <c r="E92" i="27"/>
  <c r="E112" i="27"/>
  <c r="E60" i="36"/>
  <c r="E72" i="36"/>
  <c r="B46" i="36"/>
  <c r="B46" i="37"/>
  <c r="H14" i="36"/>
  <c r="H14" i="37"/>
  <c r="B15" i="27"/>
  <c r="B15" i="36"/>
  <c r="B15" i="37"/>
  <c r="B128" i="27"/>
  <c r="K6" i="27"/>
  <c r="M137" i="27"/>
  <c r="M33" i="27"/>
  <c r="M53" i="27"/>
  <c r="M85" i="27"/>
  <c r="M105" i="27"/>
  <c r="M125" i="27"/>
  <c r="I120" i="36"/>
  <c r="I81" i="36"/>
  <c r="I123" i="37"/>
  <c r="I83" i="37"/>
  <c r="I112" i="27"/>
  <c r="E106" i="37"/>
  <c r="I133" i="36"/>
  <c r="I123" i="36"/>
  <c r="M43" i="36"/>
  <c r="I103" i="37"/>
  <c r="I39" i="27"/>
  <c r="B88" i="37"/>
  <c r="I33" i="27"/>
  <c r="F33" i="27"/>
  <c r="I137" i="36"/>
  <c r="F137" i="36"/>
  <c r="I101" i="37"/>
  <c r="I52" i="37"/>
  <c r="I50" i="37"/>
  <c r="I32" i="37"/>
  <c r="M75" i="27"/>
  <c r="I70" i="27"/>
  <c r="M43" i="27"/>
  <c r="I41" i="27"/>
  <c r="D25" i="27"/>
  <c r="E72" i="37"/>
  <c r="E20" i="37"/>
  <c r="B174" i="36"/>
  <c r="I48" i="36"/>
  <c r="I32" i="36"/>
  <c r="I28" i="36"/>
  <c r="B41" i="34"/>
  <c r="I84" i="27"/>
  <c r="I83" i="27"/>
  <c r="I80" i="27"/>
  <c r="I75" i="27"/>
  <c r="F23" i="36"/>
  <c r="I92" i="37"/>
  <c r="B158" i="37"/>
  <c r="M95" i="27"/>
  <c r="G36" i="34"/>
  <c r="I51" i="37"/>
  <c r="B164" i="27"/>
  <c r="G28" i="34"/>
  <c r="F125" i="36"/>
  <c r="I42" i="37"/>
  <c r="F105" i="36"/>
  <c r="I94" i="36"/>
  <c r="I93" i="37"/>
  <c r="M53" i="37"/>
  <c r="I136" i="27"/>
  <c r="I123" i="27"/>
  <c r="I121" i="27"/>
  <c r="I50" i="27"/>
  <c r="I48" i="27"/>
  <c r="I29" i="27"/>
  <c r="I60" i="36"/>
  <c r="I58" i="36"/>
  <c r="I39" i="36"/>
  <c r="I71" i="37"/>
  <c r="I62" i="37"/>
  <c r="I61" i="37"/>
  <c r="I60" i="37"/>
  <c r="D58" i="16"/>
  <c r="F58" i="16" s="1"/>
  <c r="H58" i="16" s="1"/>
  <c r="F23" i="27"/>
  <c r="M23" i="36"/>
  <c r="F56" i="18"/>
  <c r="Q56" i="18" s="1"/>
  <c r="K56" i="18"/>
  <c r="F26" i="18"/>
  <c r="F23" i="18"/>
  <c r="L23" i="18"/>
  <c r="I59" i="37"/>
  <c r="E139" i="27"/>
  <c r="E135" i="27"/>
  <c r="E131" i="27"/>
  <c r="E113" i="27"/>
  <c r="E107" i="27"/>
  <c r="E103" i="27"/>
  <c r="E99" i="27"/>
  <c r="E25" i="27"/>
  <c r="E107" i="36"/>
  <c r="E61" i="36"/>
  <c r="E55" i="36"/>
  <c r="E51" i="36"/>
  <c r="B6" i="36"/>
  <c r="E135" i="37"/>
  <c r="E127" i="37"/>
  <c r="M125" i="37"/>
  <c r="E119" i="37"/>
  <c r="B98" i="37"/>
  <c r="E93" i="37"/>
  <c r="E83" i="37"/>
  <c r="M75" i="37"/>
  <c r="E69" i="37"/>
  <c r="E61" i="37"/>
  <c r="E51" i="37"/>
  <c r="E35" i="37"/>
  <c r="E31" i="37"/>
  <c r="H61" i="2"/>
  <c r="I122" i="27"/>
  <c r="I91" i="37"/>
  <c r="H167" i="37"/>
  <c r="I124" i="37"/>
  <c r="F66" i="10"/>
  <c r="F64" i="11"/>
  <c r="C10" i="16"/>
  <c r="C10" i="17" s="1"/>
  <c r="E10" i="17" s="1"/>
  <c r="E10" i="16"/>
  <c r="G10" i="16" s="1"/>
  <c r="I10" i="16" s="1"/>
  <c r="I31" i="27"/>
  <c r="I85" i="37"/>
  <c r="B164" i="37"/>
  <c r="F53" i="36"/>
  <c r="B172" i="36"/>
  <c r="I82" i="27"/>
  <c r="I29" i="37"/>
  <c r="I63" i="37"/>
  <c r="E61" i="7"/>
  <c r="F66" i="9"/>
  <c r="H7" i="9"/>
  <c r="H167" i="27"/>
  <c r="E109" i="27"/>
  <c r="E73" i="27"/>
  <c r="E47" i="27"/>
  <c r="E31" i="27"/>
  <c r="E27" i="27"/>
  <c r="E21" i="27"/>
  <c r="E17" i="27"/>
  <c r="J15" i="27"/>
  <c r="D15" i="27"/>
  <c r="B11" i="27"/>
  <c r="B128" i="36"/>
  <c r="E123" i="36"/>
  <c r="E117" i="36"/>
  <c r="E113" i="36"/>
  <c r="E109" i="36"/>
  <c r="B98" i="36"/>
  <c r="E57" i="36"/>
  <c r="E47" i="36"/>
  <c r="E41" i="36"/>
  <c r="E35" i="36"/>
  <c r="E31" i="36"/>
  <c r="E17" i="36"/>
  <c r="J15" i="36"/>
  <c r="D15" i="36"/>
  <c r="M137" i="37"/>
  <c r="E131" i="37"/>
  <c r="E103" i="37"/>
  <c r="E97" i="37"/>
  <c r="M95" i="37"/>
  <c r="E89" i="37"/>
  <c r="E87" i="37"/>
  <c r="M85" i="37"/>
  <c r="E79" i="37"/>
  <c r="E65" i="37"/>
  <c r="M63" i="37"/>
  <c r="E57" i="37"/>
  <c r="E47" i="37"/>
  <c r="E45" i="37"/>
  <c r="E41" i="37"/>
  <c r="E37" i="37"/>
  <c r="E25" i="37"/>
  <c r="B8" i="37"/>
  <c r="I39" i="37"/>
  <c r="F26" i="2"/>
  <c r="F61" i="2" s="1"/>
  <c r="B5" i="17" s="1"/>
  <c r="D5" i="17" s="1"/>
  <c r="F5" i="17" s="1"/>
  <c r="H5" i="17" s="1"/>
  <c r="F66" i="8"/>
  <c r="B61" i="8"/>
  <c r="E61" i="8"/>
  <c r="F66" i="12"/>
  <c r="I49" i="27"/>
  <c r="I120" i="27"/>
  <c r="I124" i="27"/>
  <c r="I41" i="37"/>
  <c r="G32" i="34"/>
  <c r="F137" i="37"/>
  <c r="B172" i="27"/>
  <c r="B158" i="36"/>
  <c r="H161" i="27"/>
  <c r="I90" i="27"/>
  <c r="K25" i="2"/>
  <c r="K60" i="2" s="1"/>
  <c r="B61" i="3"/>
  <c r="F64" i="10"/>
  <c r="F33" i="18"/>
  <c r="Q33" i="18" s="1"/>
  <c r="E93" i="27"/>
  <c r="E77" i="27"/>
  <c r="E69" i="27"/>
  <c r="E61" i="27"/>
  <c r="E55" i="27"/>
  <c r="E51" i="27"/>
  <c r="H161" i="36"/>
  <c r="E139" i="36"/>
  <c r="E135" i="36"/>
  <c r="E119" i="36"/>
  <c r="E103" i="36"/>
  <c r="E93" i="36"/>
  <c r="E83" i="36"/>
  <c r="E77" i="36"/>
  <c r="E73" i="36"/>
  <c r="E37" i="36"/>
  <c r="E27" i="36"/>
  <c r="E21" i="36"/>
  <c r="M105" i="37"/>
  <c r="E99" i="37"/>
  <c r="F125" i="37"/>
  <c r="D58" i="43"/>
  <c r="F58" i="43"/>
  <c r="H58" i="43" s="1"/>
  <c r="F85" i="36"/>
  <c r="A8" i="1"/>
  <c r="I20" i="27"/>
  <c r="I110" i="36"/>
  <c r="E86" i="36"/>
  <c r="J14" i="36"/>
  <c r="E126" i="37"/>
  <c r="E54" i="37"/>
  <c r="F35" i="34"/>
  <c r="I52" i="27"/>
  <c r="F43" i="27"/>
  <c r="I104" i="36"/>
  <c r="I85" i="27"/>
  <c r="E92" i="36"/>
  <c r="B88" i="36"/>
  <c r="E60" i="37"/>
  <c r="F53" i="37"/>
  <c r="I60" i="27"/>
  <c r="E86" i="37"/>
  <c r="F29" i="18"/>
  <c r="I53" i="37"/>
  <c r="F46" i="18"/>
  <c r="K46" i="18" s="1"/>
  <c r="K27" i="18"/>
  <c r="F20" i="18"/>
  <c r="R20" i="18"/>
  <c r="I101" i="27"/>
  <c r="F22" i="18"/>
  <c r="K22" i="18" s="1"/>
  <c r="F48" i="18"/>
  <c r="I38" i="27"/>
  <c r="M33" i="36"/>
  <c r="I61" i="36"/>
  <c r="I90" i="37"/>
  <c r="F63" i="27"/>
  <c r="I91" i="36"/>
  <c r="I51" i="36"/>
  <c r="I115" i="37"/>
  <c r="M63" i="36"/>
  <c r="I110" i="27"/>
  <c r="M95" i="36"/>
  <c r="I18" i="37"/>
  <c r="I74" i="37"/>
  <c r="F137" i="27"/>
  <c r="I31" i="36"/>
  <c r="F115" i="37"/>
  <c r="M53" i="36"/>
  <c r="M137" i="36"/>
  <c r="M115" i="36"/>
  <c r="M75" i="36"/>
  <c r="A11" i="1"/>
  <c r="B4" i="44"/>
  <c r="B4" i="45"/>
  <c r="D4" i="45" s="1"/>
  <c r="F4" i="45" s="1"/>
  <c r="H4" i="45" s="1"/>
  <c r="F43" i="36"/>
  <c r="M43" i="37"/>
  <c r="F41" i="18"/>
  <c r="K41" i="18" s="1"/>
  <c r="D65" i="27"/>
  <c r="X79" i="18"/>
  <c r="A10" i="1"/>
  <c r="M105" i="36"/>
  <c r="E80" i="37"/>
  <c r="E53" i="37"/>
  <c r="B53" i="37" s="1"/>
  <c r="E18" i="37"/>
  <c r="B5" i="18"/>
  <c r="M85" i="36"/>
  <c r="E90" i="37"/>
  <c r="B66" i="37"/>
  <c r="E17" i="37"/>
  <c r="A12" i="1"/>
  <c r="D12" i="13"/>
  <c r="F12" i="13"/>
  <c r="H12" i="13" s="1"/>
  <c r="A7" i="1"/>
  <c r="B62" i="43"/>
  <c r="L51" i="18"/>
  <c r="F50" i="18"/>
  <c r="K50" i="18" s="1"/>
  <c r="E38" i="37"/>
  <c r="I135" i="27"/>
  <c r="I32" i="27"/>
  <c r="I59" i="36"/>
  <c r="I19" i="36"/>
  <c r="I33" i="37"/>
  <c r="I65" i="37"/>
  <c r="I65" i="27"/>
  <c r="I25" i="37"/>
  <c r="I127" i="36"/>
  <c r="B62" i="46"/>
  <c r="B62" i="45"/>
  <c r="B62" i="35"/>
  <c r="A9" i="1"/>
  <c r="I137" i="27"/>
  <c r="I133" i="27"/>
  <c r="I111" i="27"/>
  <c r="F75" i="27"/>
  <c r="I59" i="27"/>
  <c r="F7" i="27"/>
  <c r="C137" i="27" s="1"/>
  <c r="F115" i="36"/>
  <c r="I75" i="36"/>
  <c r="F75" i="36"/>
  <c r="I50" i="36"/>
  <c r="I33" i="36"/>
  <c r="F33" i="36"/>
  <c r="I134" i="37"/>
  <c r="I82" i="37"/>
  <c r="I38" i="37"/>
  <c r="K6" i="37"/>
  <c r="D18" i="38"/>
  <c r="A39" i="1"/>
  <c r="H164" i="36"/>
  <c r="E87" i="27"/>
  <c r="E97" i="27"/>
  <c r="E127" i="27"/>
  <c r="E45" i="27"/>
  <c r="E77" i="37"/>
  <c r="E55" i="37"/>
  <c r="E139" i="37"/>
  <c r="E117" i="27"/>
  <c r="E127" i="36"/>
  <c r="E107" i="37"/>
  <c r="E65" i="36"/>
  <c r="E45" i="36"/>
  <c r="E25" i="36"/>
  <c r="E35" i="27"/>
  <c r="E97" i="36"/>
  <c r="E32" i="37"/>
  <c r="E42" i="37"/>
  <c r="E124" i="37"/>
  <c r="E32" i="36"/>
  <c r="E62" i="36"/>
  <c r="E74" i="36"/>
  <c r="E114" i="36"/>
  <c r="E136" i="36"/>
  <c r="E22" i="27"/>
  <c r="E74" i="27"/>
  <c r="E114" i="27"/>
  <c r="E84" i="37"/>
  <c r="E104" i="37"/>
  <c r="E114" i="37"/>
  <c r="E22" i="36"/>
  <c r="E52" i="36"/>
  <c r="E84" i="36"/>
  <c r="E124" i="36"/>
  <c r="E32" i="27"/>
  <c r="E62" i="27"/>
  <c r="B20" i="19"/>
  <c r="B19" i="19"/>
  <c r="H84" i="18"/>
  <c r="H80" i="18"/>
  <c r="B10" i="36"/>
  <c r="L40" i="18"/>
  <c r="F38" i="18"/>
  <c r="Q38" i="18" s="1"/>
  <c r="F37" i="18"/>
  <c r="R37" i="18" s="1"/>
  <c r="F35" i="18"/>
  <c r="R35" i="18" s="1"/>
  <c r="I127" i="27"/>
  <c r="I35" i="27"/>
  <c r="I132" i="36"/>
  <c r="I114" i="27"/>
  <c r="F95" i="27"/>
  <c r="I122" i="36"/>
  <c r="I30" i="36"/>
  <c r="F95" i="37"/>
  <c r="I81" i="37"/>
  <c r="H9" i="2"/>
  <c r="I7" i="18"/>
  <c r="H6" i="37"/>
  <c r="H6" i="36"/>
  <c r="D107" i="27"/>
  <c r="I74" i="27"/>
  <c r="I51" i="27"/>
  <c r="I30" i="27"/>
  <c r="I114" i="36"/>
  <c r="I111" i="36"/>
  <c r="F95" i="36"/>
  <c r="I95" i="36"/>
  <c r="I63" i="36"/>
  <c r="F63" i="36"/>
  <c r="I21" i="36"/>
  <c r="D107" i="36"/>
  <c r="F7" i="36"/>
  <c r="C137" i="36"/>
  <c r="K6" i="36"/>
  <c r="I132" i="37"/>
  <c r="I111" i="37"/>
  <c r="I104" i="37"/>
  <c r="F75" i="37"/>
  <c r="I75" i="37"/>
  <c r="K128" i="36"/>
  <c r="K128" i="27"/>
  <c r="E40" i="37"/>
  <c r="E30" i="27"/>
  <c r="E102" i="36"/>
  <c r="E50" i="37"/>
  <c r="E134" i="37"/>
  <c r="E72" i="27"/>
  <c r="E40" i="36"/>
  <c r="E112" i="37"/>
  <c r="E92" i="37"/>
  <c r="E50" i="27"/>
  <c r="E82" i="36"/>
  <c r="E30" i="37"/>
  <c r="E122" i="37"/>
  <c r="E60" i="27"/>
  <c r="E20" i="36"/>
  <c r="B26" i="37"/>
  <c r="B26" i="27"/>
  <c r="F15" i="37"/>
  <c r="F15" i="36"/>
  <c r="B3" i="37"/>
  <c r="B3" i="36"/>
  <c r="B128" i="37"/>
  <c r="B8" i="43"/>
  <c r="B8" i="13"/>
  <c r="B62" i="12"/>
  <c r="B62" i="10"/>
  <c r="B62" i="8"/>
  <c r="D7" i="12"/>
  <c r="G7" i="12"/>
  <c r="D7" i="10"/>
  <c r="G7" i="10"/>
  <c r="D7" i="8"/>
  <c r="G7" i="8"/>
  <c r="F6" i="12"/>
  <c r="F6" i="11"/>
  <c r="F6" i="10"/>
  <c r="F6" i="9"/>
  <c r="D5" i="5"/>
  <c r="G5" i="5"/>
  <c r="D5" i="4"/>
  <c r="G5" i="4"/>
  <c r="F4" i="7"/>
  <c r="F4" i="6"/>
  <c r="F4" i="5"/>
  <c r="B176" i="37"/>
  <c r="B176" i="36"/>
  <c r="B66" i="11"/>
  <c r="B65" i="4"/>
  <c r="B65" i="3"/>
  <c r="B65" i="5"/>
  <c r="B82" i="2"/>
  <c r="B64" i="35"/>
  <c r="B174" i="27"/>
  <c r="B174" i="37"/>
  <c r="B64" i="11"/>
  <c r="B64" i="9"/>
  <c r="B63" i="7"/>
  <c r="B63" i="6"/>
  <c r="B39" i="34"/>
  <c r="I97" i="37"/>
  <c r="I49" i="36"/>
  <c r="I55" i="37"/>
  <c r="I95" i="37"/>
  <c r="F64" i="18"/>
  <c r="R64" i="18"/>
  <c r="F24" i="18"/>
  <c r="F21" i="18"/>
  <c r="K21" i="18" s="1"/>
  <c r="H6" i="27"/>
  <c r="E104" i="36"/>
  <c r="E136" i="37"/>
  <c r="E117" i="37"/>
  <c r="E110" i="37"/>
  <c r="E52" i="37"/>
  <c r="F27" i="34"/>
  <c r="I102" i="36"/>
  <c r="I100" i="36"/>
  <c r="I72" i="36"/>
  <c r="A20" i="1"/>
  <c r="B7" i="13"/>
  <c r="F7" i="13" s="1"/>
  <c r="B7" i="44"/>
  <c r="D7" i="44"/>
  <c r="F7" i="44" s="1"/>
  <c r="H7" i="44" s="1"/>
  <c r="B7" i="43"/>
  <c r="F7" i="43"/>
  <c r="B5" i="16"/>
  <c r="D5" i="16"/>
  <c r="F5" i="16" s="1"/>
  <c r="H5" i="16" s="1"/>
  <c r="I93" i="27"/>
  <c r="I121" i="36"/>
  <c r="I105" i="36"/>
  <c r="I92" i="36"/>
  <c r="I90" i="36"/>
  <c r="I80" i="36"/>
  <c r="I62" i="36"/>
  <c r="I52" i="36"/>
  <c r="I22" i="36"/>
  <c r="I18" i="36"/>
  <c r="I122" i="37"/>
  <c r="I112" i="37"/>
  <c r="I72" i="37"/>
  <c r="I70" i="37"/>
  <c r="E70" i="37"/>
  <c r="E120" i="37"/>
  <c r="E48" i="36"/>
  <c r="E80" i="36"/>
  <c r="E90" i="36"/>
  <c r="E100" i="36"/>
  <c r="E18" i="27"/>
  <c r="E48" i="37"/>
  <c r="E58" i="37"/>
  <c r="E132" i="37"/>
  <c r="E18" i="36"/>
  <c r="E38" i="36"/>
  <c r="E132" i="36"/>
  <c r="E28" i="27"/>
  <c r="E38" i="27"/>
  <c r="B78" i="37"/>
  <c r="K14" i="27"/>
  <c r="H13" i="37"/>
  <c r="B4" i="36"/>
  <c r="A24" i="1"/>
  <c r="A19" i="1"/>
  <c r="A22" i="1"/>
  <c r="A23" i="1"/>
  <c r="B61" i="11"/>
  <c r="E61" i="11" s="1"/>
  <c r="B61" i="10"/>
  <c r="E61" i="10" s="1"/>
  <c r="B61" i="12"/>
  <c r="E61" i="12" s="1"/>
  <c r="B61" i="9"/>
  <c r="E61" i="9" s="1"/>
  <c r="H7" i="8"/>
  <c r="H7" i="12"/>
  <c r="H7" i="10"/>
  <c r="H7" i="11"/>
  <c r="B61" i="7"/>
  <c r="B61" i="6"/>
  <c r="B61" i="5"/>
  <c r="E61" i="6"/>
  <c r="E61" i="3"/>
  <c r="E61" i="4"/>
  <c r="F64" i="12"/>
  <c r="F64" i="9"/>
  <c r="F64" i="8"/>
  <c r="H80" i="2"/>
  <c r="F66" i="11"/>
  <c r="E6" i="27"/>
  <c r="H8" i="2"/>
  <c r="I6" i="18" s="1"/>
  <c r="L56" i="18"/>
  <c r="I18" i="27"/>
  <c r="C13" i="19"/>
  <c r="I25" i="36"/>
  <c r="E22" i="37"/>
  <c r="X78" i="18"/>
  <c r="R56" i="18"/>
  <c r="R46" i="18"/>
  <c r="Q50" i="18"/>
  <c r="L33" i="18"/>
  <c r="D4" i="44"/>
  <c r="F4" i="44"/>
  <c r="H4" i="44" s="1"/>
  <c r="B4" i="46"/>
  <c r="D4" i="46" s="1"/>
  <c r="F4" i="46" s="1"/>
  <c r="H4" i="46" s="1"/>
  <c r="L29" i="18"/>
  <c r="D10" i="46"/>
  <c r="F8" i="47"/>
  <c r="K33" i="18"/>
  <c r="M115" i="27"/>
  <c r="D10" i="45"/>
  <c r="B62" i="17"/>
  <c r="F62" i="14"/>
  <c r="F59" i="18"/>
  <c r="K59" i="18" s="1"/>
  <c r="R59" i="18"/>
  <c r="R50" i="18"/>
  <c r="I97" i="27"/>
  <c r="B4" i="27"/>
  <c r="H13" i="36"/>
  <c r="K14" i="36"/>
  <c r="I71" i="36"/>
  <c r="I105" i="27"/>
  <c r="I107" i="36"/>
  <c r="I38" i="36"/>
  <c r="I107" i="27"/>
  <c r="I49" i="37"/>
  <c r="B10" i="27"/>
  <c r="H164" i="27"/>
  <c r="K66" i="37"/>
  <c r="I115" i="36"/>
  <c r="I25" i="27"/>
  <c r="I127" i="37"/>
  <c r="I77" i="27"/>
  <c r="I117" i="37"/>
  <c r="F33" i="37"/>
  <c r="E75" i="37"/>
  <c r="B75" i="37" s="1"/>
  <c r="E105" i="37"/>
  <c r="B105" i="37" s="1"/>
  <c r="I134" i="27"/>
  <c r="B11" i="43"/>
  <c r="H11" i="46"/>
  <c r="B62" i="14"/>
  <c r="B60" i="46"/>
  <c r="H23" i="2"/>
  <c r="G23" i="2"/>
  <c r="E36" i="34"/>
  <c r="J6" i="36"/>
  <c r="I19" i="27"/>
  <c r="F25" i="2"/>
  <c r="C4" i="4"/>
  <c r="B4" i="9"/>
  <c r="B4" i="11"/>
  <c r="B6" i="16"/>
  <c r="D6" i="16" s="1"/>
  <c r="F6" i="16" s="1"/>
  <c r="H6" i="16" s="1"/>
  <c r="F60" i="18"/>
  <c r="R60" i="18" s="1"/>
  <c r="B167" i="27"/>
  <c r="B161" i="27"/>
  <c r="E125" i="27"/>
  <c r="B125" i="27"/>
  <c r="E121" i="27"/>
  <c r="E115" i="27"/>
  <c r="B115" i="27" s="1"/>
  <c r="E105" i="27"/>
  <c r="B105" i="27" s="1"/>
  <c r="B78" i="27"/>
  <c r="K66" i="27"/>
  <c r="E53" i="27"/>
  <c r="B53" i="27" s="1"/>
  <c r="E29" i="27"/>
  <c r="E115" i="36"/>
  <c r="B115" i="36"/>
  <c r="E81" i="36"/>
  <c r="I55" i="36"/>
  <c r="E121" i="37"/>
  <c r="B118" i="37"/>
  <c r="E91" i="37"/>
  <c r="E81" i="37"/>
  <c r="E39" i="37"/>
  <c r="E21" i="37"/>
  <c r="F39" i="34"/>
  <c r="F41" i="34"/>
  <c r="I87" i="37"/>
  <c r="I115" i="27"/>
  <c r="C7" i="19"/>
  <c r="B161" i="37"/>
  <c r="F7" i="37"/>
  <c r="C137" i="37"/>
  <c r="B59" i="17"/>
  <c r="D59" i="17"/>
  <c r="F59" i="17" s="1"/>
  <c r="H59" i="17" s="1"/>
  <c r="I87" i="36"/>
  <c r="K23" i="2"/>
  <c r="J23" i="2" s="1"/>
  <c r="E95" i="37"/>
  <c r="B95" i="37" s="1"/>
  <c r="C7" i="21"/>
  <c r="A7" i="21" s="1"/>
  <c r="I21" i="27"/>
  <c r="B4" i="17"/>
  <c r="B8" i="36"/>
  <c r="F105" i="37"/>
  <c r="I93" i="36"/>
  <c r="I91" i="27"/>
  <c r="I82" i="36"/>
  <c r="J25" i="2"/>
  <c r="J60" i="2"/>
  <c r="C4" i="5"/>
  <c r="E63" i="7"/>
  <c r="B7" i="10"/>
  <c r="E7" i="10"/>
  <c r="C12" i="43"/>
  <c r="E12" i="43"/>
  <c r="G12" i="43" s="1"/>
  <c r="I12" i="43" s="1"/>
  <c r="E101" i="27"/>
  <c r="E91" i="27"/>
  <c r="E71" i="27"/>
  <c r="E33" i="27"/>
  <c r="B33" i="27" s="1"/>
  <c r="E19" i="27"/>
  <c r="H174" i="36"/>
  <c r="E133" i="36"/>
  <c r="B118" i="36"/>
  <c r="E95" i="36"/>
  <c r="B95" i="36" s="1"/>
  <c r="E85" i="36"/>
  <c r="B85" i="36" s="1"/>
  <c r="E71" i="36"/>
  <c r="E63" i="36"/>
  <c r="B63" i="36"/>
  <c r="E49" i="36"/>
  <c r="E43" i="36"/>
  <c r="B43" i="36" s="1"/>
  <c r="E29" i="36"/>
  <c r="J13" i="36"/>
  <c r="E111" i="37"/>
  <c r="E49" i="37"/>
  <c r="E43" i="37"/>
  <c r="B43" i="37" s="1"/>
  <c r="J6" i="37"/>
  <c r="K51" i="18"/>
  <c r="I45" i="27"/>
  <c r="I62" i="27"/>
  <c r="J13" i="37"/>
  <c r="I77" i="37"/>
  <c r="I35" i="36"/>
  <c r="I117" i="27"/>
  <c r="I58" i="37"/>
  <c r="E63" i="37"/>
  <c r="B63" i="37"/>
  <c r="F62" i="43"/>
  <c r="K24" i="18"/>
  <c r="K29" i="18"/>
  <c r="Q24" i="18"/>
  <c r="I117" i="36"/>
  <c r="I45" i="36"/>
  <c r="I40" i="37"/>
  <c r="I107" i="37"/>
  <c r="C15" i="19"/>
  <c r="I65" i="36"/>
  <c r="I55" i="27"/>
  <c r="C21" i="19"/>
  <c r="I77" i="36"/>
  <c r="I35" i="37"/>
  <c r="I97" i="36"/>
  <c r="E33" i="37"/>
  <c r="B33" i="37" s="1"/>
  <c r="E85" i="37"/>
  <c r="B85" i="37" s="1"/>
  <c r="Q27" i="18"/>
  <c r="I94" i="27"/>
  <c r="I125" i="27"/>
  <c r="I42" i="27"/>
  <c r="B11" i="13"/>
  <c r="H11" i="35" s="1"/>
  <c r="D11" i="35"/>
  <c r="B60" i="45"/>
  <c r="B60" i="47"/>
  <c r="B62" i="47"/>
  <c r="R23" i="18"/>
  <c r="I94" i="37"/>
  <c r="I53" i="27"/>
  <c r="E63" i="3"/>
  <c r="E63" i="4"/>
  <c r="B4" i="10"/>
  <c r="F58" i="18"/>
  <c r="L58" i="18" s="1"/>
  <c r="F34" i="18"/>
  <c r="R34" i="18" s="1"/>
  <c r="F32" i="18"/>
  <c r="K32" i="18"/>
  <c r="F31" i="18"/>
  <c r="L31" i="18"/>
  <c r="H174" i="27"/>
  <c r="E137" i="27"/>
  <c r="B137" i="27" s="1"/>
  <c r="E111" i="27"/>
  <c r="E85" i="27"/>
  <c r="B85" i="27"/>
  <c r="E81" i="27"/>
  <c r="E75" i="27"/>
  <c r="B75" i="27" s="1"/>
  <c r="E59" i="27"/>
  <c r="E49" i="27"/>
  <c r="E39" i="27"/>
  <c r="E23" i="27"/>
  <c r="B23" i="27"/>
  <c r="E137" i="36"/>
  <c r="B137" i="36"/>
  <c r="E121" i="36"/>
  <c r="E111" i="36"/>
  <c r="E101" i="36"/>
  <c r="E53" i="36"/>
  <c r="B53" i="36" s="1"/>
  <c r="E33" i="36"/>
  <c r="B33" i="36" s="1"/>
  <c r="E19" i="36"/>
  <c r="E133" i="37"/>
  <c r="E125" i="37"/>
  <c r="B125" i="37" s="1"/>
  <c r="E115" i="37"/>
  <c r="B115" i="37" s="1"/>
  <c r="E71" i="37"/>
  <c r="F62" i="15"/>
  <c r="F62" i="17"/>
  <c r="F64" i="17" s="1"/>
  <c r="K64" i="18"/>
  <c r="Q79" i="18"/>
  <c r="Z79" i="18"/>
  <c r="L81" i="18" s="1"/>
  <c r="R63" i="18"/>
  <c r="F30" i="18"/>
  <c r="R30" i="18" s="1"/>
  <c r="R48" i="18"/>
  <c r="K40" i="18"/>
  <c r="R40" i="18"/>
  <c r="I59" i="47"/>
  <c r="K58" i="18"/>
  <c r="D58" i="44"/>
  <c r="F58" i="44"/>
  <c r="H58" i="44" s="1"/>
  <c r="D7" i="43"/>
  <c r="B64" i="46"/>
  <c r="B64" i="16"/>
  <c r="H7" i="43"/>
  <c r="B7" i="14"/>
  <c r="B7" i="35" s="1"/>
  <c r="B5" i="47"/>
  <c r="D5" i="47"/>
  <c r="F5" i="47" s="1"/>
  <c r="H5" i="47" s="1"/>
  <c r="B64" i="17"/>
  <c r="B9" i="47"/>
  <c r="J12" i="2"/>
  <c r="F57" i="18"/>
  <c r="R57" i="18" s="1"/>
  <c r="F62" i="18"/>
  <c r="L62" i="18" s="1"/>
  <c r="F25" i="18"/>
  <c r="Q25" i="18"/>
  <c r="Q59" i="18"/>
  <c r="L59" i="18"/>
  <c r="F49" i="18"/>
  <c r="Q49" i="18"/>
  <c r="Q40" i="18"/>
  <c r="F47" i="18"/>
  <c r="R47" i="18" s="1"/>
  <c r="F45" i="18"/>
  <c r="K45" i="18"/>
  <c r="Q46" i="18"/>
  <c r="Q48" i="18"/>
  <c r="Q51" i="18"/>
  <c r="L37" i="18"/>
  <c r="Q37" i="18"/>
  <c r="F44" i="18"/>
  <c r="R44" i="18" s="1"/>
  <c r="F43" i="18"/>
  <c r="L43" i="18"/>
  <c r="F42" i="18"/>
  <c r="R42" i="18"/>
  <c r="K42" i="18"/>
  <c r="F39" i="18"/>
  <c r="L39" i="18" s="1"/>
  <c r="A29" i="1"/>
  <c r="B10" i="46"/>
  <c r="D8" i="47"/>
  <c r="D10" i="43"/>
  <c r="B8" i="47"/>
  <c r="B10" i="45"/>
  <c r="F10" i="44"/>
  <c r="H8" i="47"/>
  <c r="F10" i="43"/>
  <c r="K30" i="18"/>
  <c r="H11" i="45"/>
  <c r="D11" i="45"/>
  <c r="F11" i="43"/>
  <c r="F11" i="46"/>
  <c r="H11" i="43"/>
  <c r="B11" i="46"/>
  <c r="D11" i="44"/>
  <c r="H9" i="47"/>
  <c r="B60" i="35"/>
  <c r="B60" i="15"/>
  <c r="B60" i="16" s="1"/>
  <c r="B60" i="14"/>
  <c r="B11" i="44"/>
  <c r="D11" i="43"/>
  <c r="D9" i="47"/>
  <c r="L64" i="18"/>
  <c r="B64" i="44"/>
  <c r="F9" i="47"/>
  <c r="F11" i="44"/>
  <c r="F11" i="45"/>
  <c r="B11" i="14"/>
  <c r="D11" i="46"/>
  <c r="B11" i="45"/>
  <c r="R32" i="18"/>
  <c r="Q64" i="18"/>
  <c r="D12" i="14"/>
  <c r="F12" i="14"/>
  <c r="H12" i="14" s="1"/>
  <c r="B62" i="18"/>
  <c r="L42" i="18"/>
  <c r="L32" i="18"/>
  <c r="R31" i="18"/>
  <c r="R62" i="18"/>
  <c r="L26" i="18"/>
  <c r="Q22" i="18"/>
  <c r="Q26" i="18"/>
  <c r="F61" i="18"/>
  <c r="K61" i="18" s="1"/>
  <c r="E12" i="13"/>
  <c r="G12" i="13" s="1"/>
  <c r="I12" i="13" s="1"/>
  <c r="C12" i="14"/>
  <c r="C12" i="15"/>
  <c r="E12" i="15" s="1"/>
  <c r="G12" i="15" s="1"/>
  <c r="I12" i="15" s="1"/>
  <c r="B63" i="18"/>
  <c r="F4" i="17"/>
  <c r="A6" i="1"/>
  <c r="L61" i="18"/>
  <c r="D12" i="43"/>
  <c r="F12" i="43" s="1"/>
  <c r="H12" i="43" s="1"/>
  <c r="B12" i="44"/>
  <c r="B12" i="46"/>
  <c r="D12" i="46" s="1"/>
  <c r="F12" i="46" s="1"/>
  <c r="H12" i="46" s="1"/>
  <c r="H11" i="14"/>
  <c r="D11" i="13"/>
  <c r="F9" i="16"/>
  <c r="K79" i="18"/>
  <c r="F62" i="44"/>
  <c r="F62" i="13"/>
  <c r="Q83" i="18"/>
  <c r="K80" i="18"/>
  <c r="M23" i="37"/>
  <c r="R39" i="18"/>
  <c r="Q43" i="18"/>
  <c r="D9" i="16"/>
  <c r="B9" i="17"/>
  <c r="K43" i="18"/>
  <c r="Q32" i="18"/>
  <c r="F62" i="46"/>
  <c r="F55" i="18"/>
  <c r="L55" i="18" s="1"/>
  <c r="B8" i="14"/>
  <c r="D8" i="14" s="1"/>
  <c r="F8" i="14" s="1"/>
  <c r="H8" i="14" s="1"/>
  <c r="D8" i="13"/>
  <c r="F8" i="13" s="1"/>
  <c r="H8" i="13" s="1"/>
  <c r="B58" i="45"/>
  <c r="D58" i="45"/>
  <c r="F58" i="45" s="1"/>
  <c r="H58" i="45" s="1"/>
  <c r="B58" i="46"/>
  <c r="D58" i="46"/>
  <c r="F58" i="46" s="1"/>
  <c r="H58" i="46" s="1"/>
  <c r="K49" i="18"/>
  <c r="R43" i="18"/>
  <c r="R36" i="18"/>
  <c r="K25" i="18"/>
  <c r="L49" i="18"/>
  <c r="C12" i="44"/>
  <c r="R25" i="18"/>
  <c r="H11" i="44"/>
  <c r="B7" i="46"/>
  <c r="H7" i="46" s="1"/>
  <c r="A18" i="1"/>
  <c r="H10" i="44"/>
  <c r="H10" i="43"/>
  <c r="H10" i="46"/>
  <c r="D10" i="44"/>
  <c r="H10" i="45"/>
  <c r="R49" i="18"/>
  <c r="L25" i="18"/>
  <c r="K63" i="18"/>
  <c r="B7" i="45"/>
  <c r="D7" i="45" s="1"/>
  <c r="B64" i="47"/>
  <c r="B64" i="15"/>
  <c r="B64" i="43"/>
  <c r="R33" i="18"/>
  <c r="K35" i="18"/>
  <c r="R38" i="18"/>
  <c r="R51" i="18"/>
  <c r="B4" i="18"/>
  <c r="Q41" i="18"/>
  <c r="B62" i="44"/>
  <c r="R27" i="18"/>
  <c r="Q35" i="18"/>
  <c r="L22" i="18"/>
  <c r="M115" i="37"/>
  <c r="B60" i="17"/>
  <c r="R55" i="18"/>
  <c r="Z83" i="18"/>
  <c r="L80" i="18"/>
  <c r="R53" i="18"/>
  <c r="C12" i="35"/>
  <c r="E12" i="35" s="1"/>
  <c r="G12" i="35" s="1"/>
  <c r="I12" i="35" s="1"/>
  <c r="D12" i="44"/>
  <c r="F12" i="44" s="1"/>
  <c r="H12" i="44" s="1"/>
  <c r="B12" i="45"/>
  <c r="D12" i="45"/>
  <c r="F12" i="45" s="1"/>
  <c r="H12" i="45" s="1"/>
  <c r="C12" i="45"/>
  <c r="E12" i="45"/>
  <c r="G12" i="45" s="1"/>
  <c r="I12" i="45" s="1"/>
  <c r="E12" i="44"/>
  <c r="G12" i="44"/>
  <c r="I12" i="44" s="1"/>
  <c r="C12" i="46"/>
  <c r="E12" i="46" s="1"/>
  <c r="G12" i="46" s="1"/>
  <c r="I12" i="46" s="1"/>
  <c r="B8" i="35"/>
  <c r="D8" i="35" s="1"/>
  <c r="F8" i="35" s="1"/>
  <c r="H8" i="35" s="1"/>
  <c r="F7" i="45"/>
  <c r="D7" i="46"/>
  <c r="F7" i="46"/>
  <c r="L82" i="18"/>
  <c r="L47" i="18"/>
  <c r="K47" i="18"/>
  <c r="Q20" i="18"/>
  <c r="L21" i="18"/>
  <c r="R21" i="18"/>
  <c r="B8" i="44"/>
  <c r="B8" i="46" s="1"/>
  <c r="D8" i="46" s="1"/>
  <c r="F8" i="46" s="1"/>
  <c r="D8" i="43"/>
  <c r="F8" i="43"/>
  <c r="H8" i="43" s="1"/>
  <c r="Q63" i="18"/>
  <c r="L63" i="18"/>
  <c r="L54" i="18"/>
  <c r="R54" i="18"/>
  <c r="Q54" i="18"/>
  <c r="K54" i="18"/>
  <c r="Q53" i="18"/>
  <c r="K53" i="18"/>
  <c r="L53" i="18"/>
  <c r="K36" i="18"/>
  <c r="L36" i="18"/>
  <c r="Q36" i="18"/>
  <c r="L28" i="18"/>
  <c r="K28" i="18"/>
  <c r="Q28" i="18"/>
  <c r="R28" i="18"/>
  <c r="P65" i="18"/>
  <c r="L20" i="18"/>
  <c r="K20" i="18"/>
  <c r="H1" i="11"/>
  <c r="A53" i="1" s="1"/>
  <c r="H1" i="9"/>
  <c r="A51" i="1" s="1"/>
  <c r="H1" i="12"/>
  <c r="A54" i="1" s="1"/>
  <c r="H1" i="10"/>
  <c r="A52" i="1" s="1"/>
  <c r="H1" i="8"/>
  <c r="A50" i="1" s="1"/>
  <c r="Q62" i="18"/>
  <c r="K60" i="18"/>
  <c r="Q60" i="18"/>
  <c r="L60" i="18"/>
  <c r="P17" i="2"/>
  <c r="N23" i="2"/>
  <c r="B4" i="14"/>
  <c r="D4" i="13"/>
  <c r="F4" i="13"/>
  <c r="H4" i="13" s="1"/>
  <c r="E32" i="34"/>
  <c r="E28" i="34"/>
  <c r="E22" i="34"/>
  <c r="H160" i="27"/>
  <c r="H160" i="36"/>
  <c r="B163" i="27"/>
  <c r="B163" i="37"/>
  <c r="B163" i="36"/>
  <c r="B130" i="27"/>
  <c r="B130" i="36"/>
  <c r="B130" i="37"/>
  <c r="B36" i="27"/>
  <c r="B36" i="37"/>
  <c r="B36" i="36"/>
  <c r="A21" i="1"/>
  <c r="Q34" i="18"/>
  <c r="L34" i="18"/>
  <c r="T14" i="2"/>
  <c r="R23" i="2"/>
  <c r="J83" i="18" s="1"/>
  <c r="Q44" i="18"/>
  <c r="L44" i="18"/>
  <c r="Q42" i="18"/>
  <c r="F11" i="14"/>
  <c r="F62" i="35"/>
  <c r="F62" i="16"/>
  <c r="F64" i="16"/>
  <c r="F62" i="45"/>
  <c r="H82" i="2"/>
  <c r="F64" i="13" s="1"/>
  <c r="K48" i="18"/>
  <c r="L48" i="18"/>
  <c r="R26" i="18"/>
  <c r="K26" i="18"/>
  <c r="B12" i="15"/>
  <c r="D12" i="15" s="1"/>
  <c r="F12" i="15" s="1"/>
  <c r="H12" i="15" s="1"/>
  <c r="B12" i="35"/>
  <c r="D12" i="35" s="1"/>
  <c r="F12" i="35" s="1"/>
  <c r="H12" i="35" s="1"/>
  <c r="H174" i="37"/>
  <c r="H176" i="37"/>
  <c r="E63" i="6"/>
  <c r="E65" i="5"/>
  <c r="E65" i="4"/>
  <c r="E65" i="7"/>
  <c r="E65" i="3"/>
  <c r="H176" i="27"/>
  <c r="E65" i="6"/>
  <c r="E63" i="5"/>
  <c r="H176" i="36"/>
  <c r="K31" i="18"/>
  <c r="Q31" i="18"/>
  <c r="L24" i="18"/>
  <c r="R24" i="18"/>
  <c r="B64" i="13"/>
  <c r="B64" i="14"/>
  <c r="B64" i="45"/>
  <c r="K38" i="18"/>
  <c r="L38" i="18"/>
  <c r="R29" i="18"/>
  <c r="Q29" i="18"/>
  <c r="H64" i="37"/>
  <c r="N64" i="37" s="1"/>
  <c r="J58" i="37"/>
  <c r="K63" i="37"/>
  <c r="J30" i="37"/>
  <c r="I30" i="37"/>
  <c r="J19" i="37"/>
  <c r="I19" i="37"/>
  <c r="H116" i="36"/>
  <c r="J110" i="36"/>
  <c r="K115" i="36" s="1"/>
  <c r="F9" i="17"/>
  <c r="D11" i="14"/>
  <c r="E12" i="14"/>
  <c r="G12" i="14" s="1"/>
  <c r="I12" i="14" s="1"/>
  <c r="Q45" i="18"/>
  <c r="L45" i="18"/>
  <c r="D11" i="15"/>
  <c r="R45" i="18"/>
  <c r="F11" i="13"/>
  <c r="F62" i="47"/>
  <c r="F64" i="47" s="1"/>
  <c r="D7" i="13"/>
  <c r="L41" i="18"/>
  <c r="R41" i="18"/>
  <c r="L46" i="18"/>
  <c r="Q23" i="18"/>
  <c r="K23" i="18"/>
  <c r="F10" i="46"/>
  <c r="B10" i="44"/>
  <c r="F10" i="45"/>
  <c r="D58" i="13"/>
  <c r="F58" i="13" s="1"/>
  <c r="H58" i="13" s="1"/>
  <c r="B58" i="14"/>
  <c r="B62" i="13"/>
  <c r="B62" i="15"/>
  <c r="D10" i="16"/>
  <c r="F10" i="16" s="1"/>
  <c r="H10" i="16" s="1"/>
  <c r="AB8" i="21"/>
  <c r="K33" i="37"/>
  <c r="K43" i="27"/>
  <c r="K63" i="27"/>
  <c r="H34" i="27"/>
  <c r="J28" i="27"/>
  <c r="K33" i="27" s="1"/>
  <c r="B166" i="36"/>
  <c r="B166" i="37"/>
  <c r="E73" i="37"/>
  <c r="E41" i="27"/>
  <c r="E113" i="37"/>
  <c r="B11" i="37"/>
  <c r="C9" i="2"/>
  <c r="B7" i="18" s="1"/>
  <c r="J10" i="10"/>
  <c r="J14" i="10"/>
  <c r="J18" i="10"/>
  <c r="J22" i="10"/>
  <c r="J26" i="10"/>
  <c r="J30" i="10"/>
  <c r="J34" i="10"/>
  <c r="J38" i="10"/>
  <c r="J42" i="10"/>
  <c r="J46" i="10"/>
  <c r="J50" i="10"/>
  <c r="J54" i="10"/>
  <c r="J58" i="10"/>
  <c r="J8" i="9"/>
  <c r="J12" i="9"/>
  <c r="J16" i="9"/>
  <c r="J20" i="9"/>
  <c r="J24" i="9"/>
  <c r="J28" i="9"/>
  <c r="J32" i="9"/>
  <c r="J36" i="9"/>
  <c r="J40" i="9"/>
  <c r="J44" i="9"/>
  <c r="J48" i="9"/>
  <c r="J52" i="9"/>
  <c r="J56" i="9"/>
  <c r="J60" i="9"/>
  <c r="K23" i="37"/>
  <c r="H86" i="37"/>
  <c r="J80" i="37"/>
  <c r="K85" i="37"/>
  <c r="H54" i="37"/>
  <c r="J51" i="37"/>
  <c r="K53" i="37" s="1"/>
  <c r="P33" i="37"/>
  <c r="D35" i="37" s="1"/>
  <c r="P53" i="37"/>
  <c r="P85" i="37"/>
  <c r="D87" i="37" s="1"/>
  <c r="P125" i="37"/>
  <c r="P43" i="37"/>
  <c r="P63" i="37"/>
  <c r="P105" i="37"/>
  <c r="D107" i="37" s="1"/>
  <c r="P23" i="37"/>
  <c r="P115" i="37"/>
  <c r="D117" i="37" s="1"/>
  <c r="P95" i="37"/>
  <c r="J103" i="36"/>
  <c r="K105" i="36" s="1"/>
  <c r="H106" i="36"/>
  <c r="N106" i="36" s="1"/>
  <c r="J21" i="27"/>
  <c r="K23" i="27" s="1"/>
  <c r="G145" i="27" s="1"/>
  <c r="H24" i="27"/>
  <c r="E79" i="36"/>
  <c r="I64" i="36"/>
  <c r="I44" i="36"/>
  <c r="B16" i="36"/>
  <c r="E109" i="37"/>
  <c r="I106" i="37"/>
  <c r="E59" i="37"/>
  <c r="V3" i="21"/>
  <c r="Z3" i="21"/>
  <c r="J59" i="12"/>
  <c r="J55" i="12"/>
  <c r="J51" i="12"/>
  <c r="J45" i="12"/>
  <c r="J40" i="12"/>
  <c r="J35" i="12"/>
  <c r="J29" i="12"/>
  <c r="J24" i="12"/>
  <c r="J19" i="12"/>
  <c r="J13" i="12"/>
  <c r="J57" i="11"/>
  <c r="J51" i="11"/>
  <c r="J46" i="11"/>
  <c r="J41" i="11"/>
  <c r="J35" i="11"/>
  <c r="J30" i="11"/>
  <c r="J25" i="11"/>
  <c r="J19" i="11"/>
  <c r="J14" i="11"/>
  <c r="J57" i="10"/>
  <c r="J52" i="10"/>
  <c r="J47" i="10"/>
  <c r="J41" i="10"/>
  <c r="J36" i="10"/>
  <c r="J31" i="10"/>
  <c r="J25" i="10"/>
  <c r="J20" i="10"/>
  <c r="J15" i="10"/>
  <c r="J9" i="10"/>
  <c r="J58" i="9"/>
  <c r="J53" i="9"/>
  <c r="J47" i="9"/>
  <c r="J42" i="9"/>
  <c r="J37" i="9"/>
  <c r="J31" i="9"/>
  <c r="J26" i="9"/>
  <c r="J21" i="9"/>
  <c r="J15" i="9"/>
  <c r="J10" i="9"/>
  <c r="S23" i="2"/>
  <c r="E12" i="18" s="1"/>
  <c r="U14" i="2"/>
  <c r="U23" i="2" s="1"/>
  <c r="E13" i="18" s="1"/>
  <c r="K137" i="37"/>
  <c r="P137" i="37"/>
  <c r="K23" i="36"/>
  <c r="P53" i="36"/>
  <c r="D55" i="36" s="1"/>
  <c r="P95" i="36"/>
  <c r="P137" i="36"/>
  <c r="D139" i="36" s="1"/>
  <c r="P33" i="36"/>
  <c r="P75" i="36"/>
  <c r="D77" i="36" s="1"/>
  <c r="P115" i="36"/>
  <c r="P43" i="36"/>
  <c r="P125" i="36"/>
  <c r="P85" i="36"/>
  <c r="D87" i="36" s="1"/>
  <c r="P23" i="36"/>
  <c r="P63" i="36"/>
  <c r="D65" i="36" s="1"/>
  <c r="Z6" i="21"/>
  <c r="J10" i="12"/>
  <c r="J14" i="12"/>
  <c r="J18" i="12"/>
  <c r="J22" i="12"/>
  <c r="J26" i="12"/>
  <c r="J30" i="12"/>
  <c r="J34" i="12"/>
  <c r="J38" i="12"/>
  <c r="J42" i="12"/>
  <c r="J46" i="12"/>
  <c r="J50" i="12"/>
  <c r="J8" i="11"/>
  <c r="J12" i="11"/>
  <c r="J16" i="11"/>
  <c r="J20" i="11"/>
  <c r="J24" i="11"/>
  <c r="J28" i="11"/>
  <c r="J32" i="11"/>
  <c r="J36" i="11"/>
  <c r="J40" i="11"/>
  <c r="J44" i="11"/>
  <c r="J48" i="11"/>
  <c r="J52" i="11"/>
  <c r="J56" i="11"/>
  <c r="J60" i="11"/>
  <c r="J56" i="10"/>
  <c r="J51" i="10"/>
  <c r="J45" i="10"/>
  <c r="J40" i="10"/>
  <c r="J35" i="10"/>
  <c r="J29" i="10"/>
  <c r="J24" i="10"/>
  <c r="J19" i="10"/>
  <c r="J13" i="10"/>
  <c r="J8" i="10"/>
  <c r="J57" i="9"/>
  <c r="J51" i="9"/>
  <c r="J46" i="9"/>
  <c r="J41" i="9"/>
  <c r="J35" i="9"/>
  <c r="J30" i="9"/>
  <c r="J25" i="9"/>
  <c r="J19" i="9"/>
  <c r="J14" i="9"/>
  <c r="J9" i="9"/>
  <c r="P75" i="37"/>
  <c r="K43" i="36"/>
  <c r="K63" i="36"/>
  <c r="J8" i="8"/>
  <c r="J12" i="8"/>
  <c r="J16" i="8"/>
  <c r="J20" i="8"/>
  <c r="J24" i="8"/>
  <c r="J28" i="8"/>
  <c r="J32" i="8"/>
  <c r="J36" i="8"/>
  <c r="J40" i="8"/>
  <c r="J44" i="8"/>
  <c r="J48" i="8"/>
  <c r="H106" i="37"/>
  <c r="J100" i="37"/>
  <c r="K105" i="37" s="1"/>
  <c r="K85" i="36"/>
  <c r="K85" i="27"/>
  <c r="K105" i="27"/>
  <c r="H116" i="27"/>
  <c r="J110" i="27"/>
  <c r="K115" i="27" s="1"/>
  <c r="N106" i="27"/>
  <c r="H76" i="27"/>
  <c r="J70" i="27"/>
  <c r="K75" i="27" s="1"/>
  <c r="K142" i="27" s="1"/>
  <c r="N64" i="27"/>
  <c r="T11" i="21"/>
  <c r="R11" i="21"/>
  <c r="C22" i="2" s="1"/>
  <c r="T9" i="21"/>
  <c r="R9" i="21"/>
  <c r="C20" i="2" s="1"/>
  <c r="F2" i="47"/>
  <c r="F2" i="46"/>
  <c r="F2" i="44"/>
  <c r="F2" i="35"/>
  <c r="F2" i="14"/>
  <c r="E3" i="12"/>
  <c r="E3" i="10"/>
  <c r="E3" i="8"/>
  <c r="E2" i="6"/>
  <c r="E2" i="4"/>
  <c r="D2" i="19"/>
  <c r="F2" i="17"/>
  <c r="F2" i="16"/>
  <c r="F2" i="45"/>
  <c r="F2" i="43"/>
  <c r="F2" i="15"/>
  <c r="F2" i="13"/>
  <c r="E3" i="11"/>
  <c r="E3" i="9"/>
  <c r="E2" i="7"/>
  <c r="E2" i="5"/>
  <c r="E2" i="3"/>
  <c r="H126" i="37"/>
  <c r="J120" i="37"/>
  <c r="K125" i="37" s="1"/>
  <c r="H34" i="37"/>
  <c r="E160" i="37" s="1"/>
  <c r="H76" i="36"/>
  <c r="N76" i="36" s="1"/>
  <c r="J70" i="36"/>
  <c r="K75" i="36"/>
  <c r="H34" i="36"/>
  <c r="J28" i="36"/>
  <c r="K33" i="36" s="1"/>
  <c r="K125" i="27"/>
  <c r="P33" i="27"/>
  <c r="P75" i="27"/>
  <c r="D77" i="27" s="1"/>
  <c r="P115" i="27"/>
  <c r="P53" i="27"/>
  <c r="D55" i="27" s="1"/>
  <c r="P95" i="27"/>
  <c r="P137" i="27"/>
  <c r="D139" i="27" s="1"/>
  <c r="P85" i="27"/>
  <c r="P43" i="27"/>
  <c r="D45" i="27" s="1"/>
  <c r="P125" i="27"/>
  <c r="N126" i="27" s="1"/>
  <c r="I1" i="17"/>
  <c r="I1" i="47"/>
  <c r="A27" i="1"/>
  <c r="I1" i="16"/>
  <c r="A59" i="1" s="1"/>
  <c r="K53" i="36"/>
  <c r="K95" i="36"/>
  <c r="K137" i="36"/>
  <c r="H96" i="36"/>
  <c r="H138" i="27"/>
  <c r="H54" i="27"/>
  <c r="H138" i="36"/>
  <c r="H86" i="36"/>
  <c r="H54" i="36"/>
  <c r="N54" i="36" s="1"/>
  <c r="K53" i="27"/>
  <c r="K95" i="27"/>
  <c r="J132" i="27"/>
  <c r="K137" i="27"/>
  <c r="H126" i="27"/>
  <c r="H96" i="27"/>
  <c r="H44" i="27"/>
  <c r="B2" i="7"/>
  <c r="B3" i="11"/>
  <c r="B2" i="15"/>
  <c r="B2" i="45"/>
  <c r="B2" i="17"/>
  <c r="G148" i="27"/>
  <c r="D127" i="27"/>
  <c r="N34" i="27"/>
  <c r="D35" i="27"/>
  <c r="G13" i="18"/>
  <c r="N86" i="36"/>
  <c r="N86" i="37"/>
  <c r="N44" i="27"/>
  <c r="N126" i="36"/>
  <c r="D127" i="36"/>
  <c r="D65" i="37"/>
  <c r="N54" i="37"/>
  <c r="D55" i="37"/>
  <c r="K78" i="18"/>
  <c r="I83" i="18"/>
  <c r="N86" i="27"/>
  <c r="D87" i="27"/>
  <c r="N116" i="27"/>
  <c r="D117" i="27"/>
  <c r="N138" i="36"/>
  <c r="N116" i="37"/>
  <c r="B58" i="15"/>
  <c r="D58" i="15" s="1"/>
  <c r="F58" i="15" s="1"/>
  <c r="H58" i="15" s="1"/>
  <c r="D58" i="14"/>
  <c r="F58" i="14" s="1"/>
  <c r="H58" i="14" s="1"/>
  <c r="B58" i="35"/>
  <c r="D58" i="35"/>
  <c r="F58" i="35" s="1"/>
  <c r="H58" i="35" s="1"/>
  <c r="F64" i="35"/>
  <c r="F64" i="44"/>
  <c r="F64" i="43"/>
  <c r="F64" i="14"/>
  <c r="F64" i="45"/>
  <c r="F64" i="15"/>
  <c r="K83" i="18"/>
  <c r="A17" i="1"/>
  <c r="N96" i="27"/>
  <c r="D97" i="27"/>
  <c r="N106" i="37"/>
  <c r="B4" i="35"/>
  <c r="D4" i="35" s="1"/>
  <c r="F4" i="35" s="1"/>
  <c r="H4" i="35" s="1"/>
  <c r="B4" i="15"/>
  <c r="D4" i="15" s="1"/>
  <c r="F4" i="15" s="1"/>
  <c r="H4" i="15" s="1"/>
  <c r="D4" i="14"/>
  <c r="F4" i="14" s="1"/>
  <c r="H4" i="14" s="1"/>
  <c r="A16" i="1"/>
  <c r="H8" i="46"/>
  <c r="A26" i="1"/>
  <c r="N54" i="27"/>
  <c r="N34" i="36"/>
  <c r="D35" i="36"/>
  <c r="N96" i="37"/>
  <c r="D97" i="37"/>
  <c r="H13" i="18"/>
  <c r="K13" i="18" s="1"/>
  <c r="I78" i="18"/>
  <c r="J78" i="18"/>
  <c r="A15" i="1"/>
  <c r="D7" i="35"/>
  <c r="N76" i="27"/>
  <c r="N76" i="37"/>
  <c r="D77" i="37"/>
  <c r="D25" i="36"/>
  <c r="N116" i="36"/>
  <c r="D117" i="36"/>
  <c r="N96" i="36"/>
  <c r="D97" i="36"/>
  <c r="N24" i="37"/>
  <c r="D25" i="37"/>
  <c r="N126" i="37"/>
  <c r="D127" i="37"/>
  <c r="A14" i="1"/>
  <c r="B83" i="18"/>
  <c r="F83" i="18" s="1"/>
  <c r="K84" i="18"/>
  <c r="L13" i="18"/>
  <c r="H12" i="18"/>
  <c r="P23" i="2"/>
  <c r="L78" i="18" s="1"/>
  <c r="J80" i="18"/>
  <c r="J82" i="18"/>
  <c r="Z82" i="18"/>
  <c r="I80" i="18"/>
  <c r="O23" i="2"/>
  <c r="D12" i="18"/>
  <c r="Q14" i="2"/>
  <c r="Q23" i="2"/>
  <c r="D13" i="18" s="1"/>
  <c r="B9" i="13"/>
  <c r="G61" i="2"/>
  <c r="B9" i="43"/>
  <c r="B7" i="47" s="1"/>
  <c r="H18" i="18"/>
  <c r="H14" i="18"/>
  <c r="D1" i="6"/>
  <c r="D1" i="4"/>
  <c r="D1" i="5"/>
  <c r="D1" i="7"/>
  <c r="D1" i="3"/>
  <c r="H9" i="45"/>
  <c r="D9" i="43"/>
  <c r="B9" i="46"/>
  <c r="F9" i="45"/>
  <c r="D9" i="45"/>
  <c r="D7" i="47"/>
  <c r="F7" i="47"/>
  <c r="D9" i="44"/>
  <c r="F9" i="44"/>
  <c r="F9" i="46"/>
  <c r="B9" i="45"/>
  <c r="H7" i="47"/>
  <c r="F9" i="43"/>
  <c r="H9" i="44"/>
  <c r="K6" i="18"/>
  <c r="H9" i="13"/>
  <c r="F9" i="14"/>
  <c r="H9" i="14"/>
  <c r="B9" i="35"/>
  <c r="H7" i="17"/>
  <c r="F9" i="35"/>
  <c r="B9" i="14"/>
  <c r="H9" i="15"/>
  <c r="D9" i="35"/>
  <c r="H9" i="35"/>
  <c r="H7" i="16"/>
  <c r="D7" i="17"/>
  <c r="B9" i="15"/>
  <c r="D9" i="15"/>
  <c r="D7" i="16"/>
  <c r="F7" i="17"/>
  <c r="B7" i="16"/>
  <c r="B7" i="17"/>
  <c r="D9" i="14"/>
  <c r="F9" i="15"/>
  <c r="D9" i="13"/>
  <c r="F9" i="13"/>
  <c r="F7" i="16"/>
  <c r="D1" i="8"/>
  <c r="D1" i="12"/>
  <c r="D1" i="9"/>
  <c r="D1" i="10"/>
  <c r="D1" i="11"/>
  <c r="D1" i="16"/>
  <c r="D1" i="17" s="1"/>
  <c r="D1" i="15"/>
  <c r="D1" i="45"/>
  <c r="D1" i="44" l="1"/>
  <c r="D1" i="13"/>
  <c r="D1" i="43"/>
  <c r="D1" i="46"/>
  <c r="A60" i="1"/>
  <c r="A28" i="1"/>
  <c r="D1" i="47"/>
  <c r="L12" i="18"/>
  <c r="L14" i="18" s="1"/>
  <c r="F70" i="18" s="1"/>
  <c r="K12" i="18"/>
  <c r="K14" i="18" s="1"/>
  <c r="E70" i="18" s="1"/>
  <c r="E158" i="27"/>
  <c r="N44" i="36"/>
  <c r="D45" i="36"/>
  <c r="E158" i="36" s="1"/>
  <c r="N138" i="37"/>
  <c r="D139" i="37"/>
  <c r="N24" i="27"/>
  <c r="E163" i="27" s="1"/>
  <c r="K170" i="27" s="1"/>
  <c r="E160" i="27"/>
  <c r="H7" i="35"/>
  <c r="F7" i="35"/>
  <c r="G155" i="27"/>
  <c r="G144" i="27"/>
  <c r="G146" i="27"/>
  <c r="G151" i="27"/>
  <c r="G152" i="27"/>
  <c r="G154" i="27"/>
  <c r="G150" i="27"/>
  <c r="G147" i="27"/>
  <c r="G153" i="27"/>
  <c r="K7" i="18"/>
  <c r="C72" i="18" s="1"/>
  <c r="E78" i="18"/>
  <c r="N44" i="37"/>
  <c r="D45" i="37"/>
  <c r="E158" i="37" s="1"/>
  <c r="D1" i="35"/>
  <c r="D1" i="14"/>
  <c r="E80" i="18"/>
  <c r="E163" i="37"/>
  <c r="N138" i="27"/>
  <c r="N34" i="37"/>
  <c r="G149" i="27"/>
  <c r="G144" i="36"/>
  <c r="G148" i="36"/>
  <c r="G146" i="36"/>
  <c r="H8" i="17"/>
  <c r="F8" i="16"/>
  <c r="F10" i="35"/>
  <c r="D8" i="17"/>
  <c r="B8" i="17"/>
  <c r="D10" i="15"/>
  <c r="F10" i="13"/>
  <c r="H8" i="16"/>
  <c r="B10" i="14"/>
  <c r="F10" i="15"/>
  <c r="B10" i="15"/>
  <c r="H10" i="35"/>
  <c r="F10" i="14"/>
  <c r="B10" i="35"/>
  <c r="B8" i="16"/>
  <c r="H10" i="14"/>
  <c r="H10" i="13"/>
  <c r="D10" i="14"/>
  <c r="H10" i="15"/>
  <c r="D8" i="16"/>
  <c r="D10" i="35"/>
  <c r="F8" i="17"/>
  <c r="D10" i="13"/>
  <c r="A13" i="1"/>
  <c r="F11" i="15"/>
  <c r="F11" i="35"/>
  <c r="B11" i="15"/>
  <c r="K44" i="18"/>
  <c r="K34" i="18"/>
  <c r="K65" i="18" s="1"/>
  <c r="E71" i="18" s="1"/>
  <c r="G71" i="18" s="1"/>
  <c r="K62" i="18"/>
  <c r="Q21" i="18"/>
  <c r="Q47" i="18"/>
  <c r="Q55" i="18"/>
  <c r="B11" i="35"/>
  <c r="H11" i="13"/>
  <c r="Q39" i="18"/>
  <c r="R61" i="18"/>
  <c r="Q61" i="18"/>
  <c r="H11" i="15"/>
  <c r="Q58" i="18"/>
  <c r="L30" i="18"/>
  <c r="L65" i="18" s="1"/>
  <c r="F71" i="18" s="1"/>
  <c r="H71" i="18" s="1"/>
  <c r="R58" i="18"/>
  <c r="H9" i="17"/>
  <c r="K37" i="18"/>
  <c r="L50" i="18"/>
  <c r="L79" i="18"/>
  <c r="D7" i="14"/>
  <c r="F7" i="14" s="1"/>
  <c r="H7" i="14" s="1"/>
  <c r="K55" i="18"/>
  <c r="K39" i="18"/>
  <c r="Q57" i="18"/>
  <c r="K57" i="18"/>
  <c r="B6" i="17"/>
  <c r="D6" i="17" s="1"/>
  <c r="F6" i="17" s="1"/>
  <c r="H6" i="17" s="1"/>
  <c r="H7" i="13"/>
  <c r="R22" i="18"/>
  <c r="R65" i="18" s="1"/>
  <c r="Q78" i="18"/>
  <c r="H9" i="43"/>
  <c r="B9" i="44"/>
  <c r="H9" i="46"/>
  <c r="D9" i="46"/>
  <c r="D8" i="44"/>
  <c r="F8" i="44" s="1"/>
  <c r="H8" i="44" s="1"/>
  <c r="B8" i="45"/>
  <c r="D8" i="45" s="1"/>
  <c r="F8" i="45" s="1"/>
  <c r="H8" i="45" s="1"/>
  <c r="F64" i="46"/>
  <c r="H9" i="16"/>
  <c r="Q30" i="18"/>
  <c r="B9" i="16"/>
  <c r="D9" i="17"/>
  <c r="B8" i="15"/>
  <c r="D8" i="15" s="1"/>
  <c r="F8" i="15" s="1"/>
  <c r="H8" i="15" s="1"/>
  <c r="B7" i="15"/>
  <c r="H7" i="45"/>
  <c r="L57" i="18"/>
  <c r="L35" i="18"/>
  <c r="A63" i="1"/>
  <c r="A31" i="1"/>
  <c r="K95" i="37"/>
  <c r="G144" i="37" s="1"/>
  <c r="K115" i="37"/>
  <c r="A33" i="1"/>
  <c r="A65" i="1"/>
  <c r="J58" i="11"/>
  <c r="J50" i="11"/>
  <c r="J43" i="11"/>
  <c r="J37" i="11"/>
  <c r="J29" i="11"/>
  <c r="J22" i="11"/>
  <c r="J15" i="11"/>
  <c r="J9" i="11"/>
  <c r="J59" i="8"/>
  <c r="J55" i="8"/>
  <c r="J51" i="8"/>
  <c r="J46" i="8"/>
  <c r="J41" i="8"/>
  <c r="J35" i="8"/>
  <c r="J30" i="8"/>
  <c r="J25" i="8"/>
  <c r="J19" i="8"/>
  <c r="J14" i="8"/>
  <c r="J9" i="8"/>
  <c r="J61" i="8" s="1"/>
  <c r="G61" i="8" s="1"/>
  <c r="J120" i="36"/>
  <c r="K125" i="36" s="1"/>
  <c r="Q4" i="21"/>
  <c r="B15" i="2" s="1"/>
  <c r="Q9" i="21"/>
  <c r="B20" i="2" s="1"/>
  <c r="Q6" i="21"/>
  <c r="B17" i="2" s="1"/>
  <c r="R7" i="21"/>
  <c r="C18" i="2" s="1"/>
  <c r="B2" i="6"/>
  <c r="B3" i="12"/>
  <c r="B2" i="43"/>
  <c r="B2" i="47"/>
  <c r="A32" i="1"/>
  <c r="H64" i="36"/>
  <c r="N64" i="36" s="1"/>
  <c r="H24" i="36"/>
  <c r="Q8" i="21"/>
  <c r="B19" i="2" s="1"/>
  <c r="Q5" i="21"/>
  <c r="B16" i="2" s="1"/>
  <c r="R8" i="21"/>
  <c r="C19" i="2" s="1"/>
  <c r="B3" i="8"/>
  <c r="B2" i="13"/>
  <c r="B2" i="44"/>
  <c r="B2" i="19"/>
  <c r="W3" i="21"/>
  <c r="J54" i="11"/>
  <c r="J47" i="11"/>
  <c r="J39" i="11"/>
  <c r="J33" i="11"/>
  <c r="J26" i="11"/>
  <c r="J18" i="11"/>
  <c r="J11" i="11"/>
  <c r="J57" i="8"/>
  <c r="J53" i="8"/>
  <c r="J49" i="8"/>
  <c r="J43" i="8"/>
  <c r="J38" i="8"/>
  <c r="J33" i="8"/>
  <c r="J27" i="8"/>
  <c r="J22" i="8"/>
  <c r="J17" i="8"/>
  <c r="J11" i="8"/>
  <c r="Q11" i="21"/>
  <c r="B22" i="2" s="1"/>
  <c r="R10" i="21"/>
  <c r="C21" i="2" s="1"/>
  <c r="B2" i="4"/>
  <c r="B3" i="9"/>
  <c r="B2" i="14"/>
  <c r="B2" i="46"/>
  <c r="A34" i="1"/>
  <c r="S3" i="21"/>
  <c r="J58" i="12"/>
  <c r="J53" i="12"/>
  <c r="J47" i="12"/>
  <c r="J39" i="12"/>
  <c r="J32" i="12"/>
  <c r="J25" i="12"/>
  <c r="J17" i="12"/>
  <c r="J61" i="12" s="1"/>
  <c r="G61" i="12" s="1"/>
  <c r="J59" i="11"/>
  <c r="J53" i="11"/>
  <c r="J45" i="11"/>
  <c r="J38" i="11"/>
  <c r="J31" i="11"/>
  <c r="J23" i="11"/>
  <c r="J17" i="11"/>
  <c r="J48" i="10"/>
  <c r="J37" i="10"/>
  <c r="J27" i="10"/>
  <c r="J61" i="10" s="1"/>
  <c r="G61" i="10" s="1"/>
  <c r="J27" i="9"/>
  <c r="J61" i="9" s="1"/>
  <c r="G61" i="9" s="1"/>
  <c r="J60" i="8"/>
  <c r="J56" i="8"/>
  <c r="J52" i="8"/>
  <c r="J47" i="8"/>
  <c r="J42" i="8"/>
  <c r="J37" i="8"/>
  <c r="J31" i="8"/>
  <c r="J26" i="8"/>
  <c r="J21" i="8"/>
  <c r="J15" i="8"/>
  <c r="Q10" i="21"/>
  <c r="B21" i="2" s="1"/>
  <c r="R4" i="21"/>
  <c r="C15" i="2" s="1"/>
  <c r="R6" i="21"/>
  <c r="C17" i="2" s="1"/>
  <c r="I81" i="18" l="1"/>
  <c r="G73" i="18"/>
  <c r="J24" i="19" s="1"/>
  <c r="E82" i="18"/>
  <c r="E83" i="18" s="1"/>
  <c r="E81" i="18"/>
  <c r="E77" i="18"/>
  <c r="E73" i="18"/>
  <c r="I24" i="19" s="1"/>
  <c r="I82" i="18"/>
  <c r="F73" i="18"/>
  <c r="K81" i="18"/>
  <c r="K82" i="18"/>
  <c r="H73" i="18"/>
  <c r="K24" i="19" s="1"/>
  <c r="G145" i="36"/>
  <c r="G153" i="36"/>
  <c r="J61" i="11"/>
  <c r="G61" i="11" s="1"/>
  <c r="X83" i="18" s="1"/>
  <c r="G147" i="37"/>
  <c r="G155" i="37"/>
  <c r="G146" i="37"/>
  <c r="G147" i="36"/>
  <c r="G155" i="36"/>
  <c r="G151" i="37"/>
  <c r="G145" i="37"/>
  <c r="G148" i="37"/>
  <c r="G152" i="37"/>
  <c r="N24" i="36"/>
  <c r="E163" i="36" s="1"/>
  <c r="K170" i="36" s="1"/>
  <c r="E160" i="36"/>
  <c r="H7" i="15"/>
  <c r="F7" i="15"/>
  <c r="D7" i="15"/>
  <c r="G153" i="37"/>
  <c r="G154" i="37"/>
  <c r="G154" i="36"/>
  <c r="G150" i="36"/>
  <c r="K142" i="36"/>
  <c r="K142" i="37"/>
  <c r="I79" i="18"/>
  <c r="Z78" i="18"/>
  <c r="G149" i="37"/>
  <c r="G151" i="36"/>
  <c r="G149" i="36"/>
  <c r="G70" i="18"/>
  <c r="G72" i="18" s="1"/>
  <c r="E72" i="18"/>
  <c r="Q65" i="18"/>
  <c r="E79" i="18" s="1"/>
  <c r="G150" i="37"/>
  <c r="K170" i="37"/>
  <c r="K172" i="27"/>
  <c r="G29" i="34" s="1"/>
  <c r="F29" i="34"/>
  <c r="H70" i="18"/>
  <c r="H72" i="18" s="1"/>
  <c r="F72" i="18"/>
  <c r="G152" i="36"/>
  <c r="F37" i="34" l="1"/>
  <c r="K172" i="37"/>
  <c r="G37" i="34" s="1"/>
  <c r="J81" i="18"/>
  <c r="J79" i="18"/>
  <c r="I84" i="18"/>
  <c r="I85" i="18"/>
  <c r="G23" i="34"/>
  <c r="F33" i="34"/>
  <c r="F23" i="34" s="1"/>
  <c r="E18" i="19" s="1"/>
  <c r="K172" i="36"/>
  <c r="G33" i="34" s="1"/>
  <c r="K18" i="19" l="1"/>
  <c r="K23" i="19" s="1"/>
  <c r="K25" i="19" s="1"/>
  <c r="I18" i="19"/>
  <c r="I23" i="19" s="1"/>
  <c r="J18" i="19"/>
  <c r="J23" i="19" s="1"/>
  <c r="J25" i="19" s="1"/>
  <c r="I25" i="19"/>
</calcChain>
</file>

<file path=xl/sharedStrings.xml><?xml version="1.0" encoding="utf-8"?>
<sst xmlns="http://schemas.openxmlformats.org/spreadsheetml/2006/main" count="1230" uniqueCount="952">
  <si>
    <t>Effectif moyen à déclarer</t>
  </si>
  <si>
    <t>Année</t>
  </si>
  <si>
    <t>UGB</t>
  </si>
  <si>
    <t>Effectif moyen</t>
  </si>
  <si>
    <t>Poulets Zusammenfassung</t>
  </si>
  <si>
    <t>Bei dieser Aktion werden alle in den Zielblättern</t>
  </si>
  <si>
    <t>schon vorhandenen Daten überschrieben.</t>
  </si>
  <si>
    <t>Wollen Sie fortfahren?</t>
  </si>
  <si>
    <t>Passwort ungültig</t>
  </si>
  <si>
    <t>Warnung</t>
  </si>
  <si>
    <t>Attention</t>
  </si>
  <si>
    <t>Mot de passe pas valable</t>
  </si>
  <si>
    <t>4. Schlachtung</t>
  </si>
  <si>
    <t>2 neue Zeilen in Tierbilanz für Umrechnung von Zukauf und Ausgang auf 365 Tage</t>
  </si>
  <si>
    <t>Einbindung der 5 Blätter des BLW-Poulet-Tools zur Berechnung des durchschnittlichen Bestandes mit Übertrag der Tierzahlen und -gewichte in die Impexblätter</t>
  </si>
  <si>
    <t>Fehler bei N-Ges-Anteil für Truten: 0.6 statt 0.85 (Zelle U4); Formelfehler in Zelle E1 (Tierkatagorie)</t>
  </si>
  <si>
    <t>Beim Einbau von Masttruten übersehen</t>
  </si>
  <si>
    <t>In Pouletblättern fixe Kükengewichte (40g) und überschreibbare Vorgabewert für Abgänge (600g)</t>
  </si>
  <si>
    <t>Totkörperanalyse ALP</t>
  </si>
  <si>
    <t>Kaninchen - Jungtiere (ab ca 35 Tage)</t>
  </si>
  <si>
    <t>Umtriebe</t>
  </si>
  <si>
    <t>Rotations</t>
  </si>
  <si>
    <t>Erkennen</t>
  </si>
  <si>
    <t xml:space="preserve">Datum </t>
  </si>
  <si>
    <t>letzter Umtrieb</t>
  </si>
  <si>
    <t>(Hilfswert)</t>
  </si>
  <si>
    <t>für Abgrenzung</t>
  </si>
  <si>
    <t>Achtung: Massgebende Periode ist das Kalenderjahr.</t>
  </si>
  <si>
    <t xml:space="preserve">               Vor der Periode angefangene und nicht innert der Periode abgeschlossene Umtriebe sind ganz zu erfassen!</t>
  </si>
  <si>
    <t xml:space="preserve">Masttage </t>
  </si>
  <si>
    <t xml:space="preserve">Lebend-gewicht </t>
  </si>
  <si>
    <t xml:space="preserve">im Stall </t>
  </si>
  <si>
    <t xml:space="preserve">in g </t>
  </si>
  <si>
    <t xml:space="preserve">Zuwachs pro Tier und Tag </t>
  </si>
  <si>
    <t xml:space="preserve">Verluste </t>
  </si>
  <si>
    <t xml:space="preserve">bis heute </t>
  </si>
  <si>
    <t xml:space="preserve">in % </t>
  </si>
  <si>
    <t>Sie müssen zuerst den Beginn und Ende des Kontrolljahres eintragen!</t>
  </si>
  <si>
    <t>Datum Anfang:</t>
  </si>
  <si>
    <t>Datum Ende:</t>
  </si>
  <si>
    <t>Überarbeitung der Pouletblätter und der Übertragsmechanismen, Anpassungen an Wegleitung 1.9</t>
  </si>
  <si>
    <t>BLW, GT 10.05.2011</t>
  </si>
  <si>
    <t xml:space="preserve"> Achat et vente transférés dans A1a et A2a</t>
  </si>
  <si>
    <t xml:space="preserve"> Achat et vente transférés dans A1b et A2b</t>
  </si>
  <si>
    <t xml:space="preserve"> Achat et vente transférés dans A1c et A2c</t>
  </si>
  <si>
    <t>Attention: La période déterminante est l'année civile.</t>
  </si>
  <si>
    <t xml:space="preserve">               Travaux commencés avant la période et non terminés pendant la période sont à saisir entièrement !</t>
  </si>
  <si>
    <t>Sommaire poulets</t>
  </si>
  <si>
    <t>Par cette action toutes les données</t>
  </si>
  <si>
    <t>Produz. Zibben (inkl. Jungtiere bis ca 35 Tage)</t>
  </si>
  <si>
    <t>Poulettes / Poulets engr.</t>
  </si>
  <si>
    <t>H.Menzi / P.Schlegel</t>
  </si>
  <si>
    <t>Neue Ganzkörperwerte für Mastpoulets</t>
  </si>
  <si>
    <t>Lapine mère (y.c. petits &lt;35 j.)</t>
  </si>
  <si>
    <t>Lapins d'engraissement (&gt; 35 j.)</t>
  </si>
  <si>
    <t>Neue Ganzkörperwerte für Masttruten, neue Tiefstwerte für Kaninchen (neue Kategorien)</t>
  </si>
  <si>
    <t>Das Kontrolljahr und das Jahr</t>
  </si>
  <si>
    <t>Hinweis</t>
  </si>
  <si>
    <t>der erfassten Umtriebe stimmen nicht überein!</t>
  </si>
  <si>
    <t>Année de contrôle et année de la</t>
  </si>
  <si>
    <t>Indication</t>
  </si>
  <si>
    <t>Das Anfangsdatum muss der 1. Januar sein!</t>
  </si>
  <si>
    <t>Das Enddatum muss der 31. Dezember sein!</t>
  </si>
  <si>
    <t>Das Jahr des Anfangs- und des Enddatums muss gleich sein!</t>
  </si>
  <si>
    <t>Laufzeitfehler bei unsinnigen Eingaben</t>
  </si>
  <si>
    <t>Nb maximum</t>
  </si>
  <si>
    <t>de places</t>
  </si>
  <si>
    <t>Plausibilisierung der Datumseingaben in den Blättern "Inv" und "Poulet1" bis "Poulet4" mit entsprechenden Hinweisen</t>
  </si>
  <si>
    <t>pertes</t>
  </si>
  <si>
    <t>pertes en %</t>
  </si>
  <si>
    <t>Abgänge in %</t>
  </si>
  <si>
    <t>Plausibilisierung des Anfangs- und Enddatums der Periode (nur bei Poulets) im Blatt "Inv"</t>
  </si>
  <si>
    <t>Unsinnige Resultate bei falschen Eingaben</t>
  </si>
  <si>
    <t>Fehlerkorrektur im Blatt "Impex": fehlende Formeln in den Zellen P31 bis R34</t>
  </si>
  <si>
    <t>Inhaltsverzeichnis</t>
  </si>
  <si>
    <t>Menüs</t>
  </si>
  <si>
    <t>Tabe&amp;llenblätter</t>
  </si>
  <si>
    <t>&amp;Feuilles</t>
  </si>
  <si>
    <t>&amp;auswählen</t>
  </si>
  <si>
    <t>c&amp;hoisir</t>
  </si>
  <si>
    <t>&amp;drucken</t>
  </si>
  <si>
    <t>Drucksteuerung auch für Mastpoulets (Stall1 bis Zusammenfassung) korrekt angepasst, Inhaltsverzeichnis vollständig mit korr. Seitenzahlen</t>
  </si>
  <si>
    <t>UJA</t>
  </si>
  <si>
    <t>im&amp;primer</t>
  </si>
  <si>
    <t>Msg-Boxen</t>
  </si>
  <si>
    <t>Feuilles</t>
  </si>
  <si>
    <t>choisir une feuille</t>
  </si>
  <si>
    <t>imprimer les feuilles</t>
  </si>
  <si>
    <t>sélectionner tout/rien</t>
  </si>
  <si>
    <t>imprimer la feuille de titre</t>
  </si>
  <si>
    <t>imprimer</t>
  </si>
  <si>
    <t>annuler</t>
  </si>
  <si>
    <t>Tabellenblätter</t>
  </si>
  <si>
    <t>Blatt wählen</t>
  </si>
  <si>
    <t>Blätter drucken</t>
  </si>
  <si>
    <t>Alles/Nichts markieren</t>
  </si>
  <si>
    <t>Titelblatt drucken</t>
  </si>
  <si>
    <t>Drucken</t>
  </si>
  <si>
    <t>Abbrechen</t>
  </si>
  <si>
    <t>Table des matières</t>
  </si>
  <si>
    <t>Betrieb:</t>
  </si>
  <si>
    <t>Exploitation:</t>
  </si>
  <si>
    <t>Blatt-Liste</t>
  </si>
  <si>
    <t>Mode d'emploi</t>
  </si>
  <si>
    <t xml:space="preserve">Erfassen die Umtriebe alternierend auf Tabellenblatt Poulet1 und Poulet 2. </t>
  </si>
  <si>
    <t xml:space="preserve">Betriebe mit Vor- und Ausmaststall: </t>
  </si>
  <si>
    <t>2c) Zusätzliche Hinweise für extensive Pouletmäster (Bio)</t>
  </si>
  <si>
    <t>Achtung zur Kontrolle: Tierbilanz muss Null sein, Futterverwertung soll plausibel sein.</t>
  </si>
  <si>
    <t xml:space="preserve">Resultate für die Import-Export-Bilanz. </t>
  </si>
  <si>
    <t>Resultate zum Durchschnittsbestand</t>
  </si>
  <si>
    <t>Die Periode ist immer 1.1.20xx – 31.12.20xx. Das Tierinventar ist NICHT zu erfassen.</t>
  </si>
  <si>
    <t>Wahl der Sprache, Erfassen von Adresse und Periode.</t>
  </si>
  <si>
    <t xml:space="preserve">1. Start bei Tabellenblatt Inv [Inventar]: </t>
  </si>
  <si>
    <t>2b) Anleitung für Mastpouletsbetriebe</t>
  </si>
  <si>
    <t>- Tabellenblatt Impex: zeigt die Resultate. Tierbilanz bei Mastschweinen muss Null sein.</t>
  </si>
  <si>
    <t>- Tabellenblätter B1-5: alle Futtermittel</t>
  </si>
  <si>
    <t>- Tabellenblätter A1a-e: Alle Tierzugänge</t>
  </si>
  <si>
    <t>- zusätzlich auf dem Tabellenblatt Inv: Inventar der Futtermittel und Tiere</t>
  </si>
  <si>
    <t>1. Start bei Tabellenblatt Inv [=Inventar]:</t>
  </si>
  <si>
    <t>2a) Anleitung für Schweine, Junghennen, Masttruten und Kaninchen</t>
  </si>
  <si>
    <t>Keine Kommas! Alle Kommastellen und Daten sind mit einem Punkt (".") einzugeben.</t>
  </si>
  <si>
    <t>Halten Sie alle Unterlagen griffbereit (Auszüge Futtermittel, Schlachtgewichte, …)</t>
  </si>
  <si>
    <t xml:space="preserve">Speichern der Datei: </t>
  </si>
  <si>
    <t>werden können. Für die Mehrfachmarkierung halten Sie während des Vorganges</t>
  </si>
  <si>
    <t>durch Anklicken einzelne oder mehrere Tabellenblätter für den Druck markiert</t>
  </si>
  <si>
    <t>Beim Aufruf des Untermenus "drucken" erscheint eine Auswahlliste, aus welcher</t>
  </si>
  <si>
    <t>Drucken:</t>
  </si>
  <si>
    <t>Imprimer:</t>
  </si>
  <si>
    <t>sind grundsätzlich für die Erfassung gesperrt</t>
  </si>
  <si>
    <t>Weisse Zellen</t>
  </si>
  <si>
    <t>Hier können Sie je nach Bedarf Text oder Zahlen eingeben</t>
  </si>
  <si>
    <t>Gelbe Zellen</t>
  </si>
  <si>
    <t xml:space="preserve">Datenerfassung: </t>
  </si>
  <si>
    <t>z.B. „Mastpoulets“ wählen und damit automatisch auf das Tabellenblatt Poulet1 springen.</t>
  </si>
  <si>
    <t>Sie erkennen, dass die Makros zugelassen sind, wenn Sie bei der Auswahl der Tierart</t>
  </si>
  <si>
    <t>Makros müssen zugelassen sein.</t>
  </si>
  <si>
    <t>Macros:</t>
  </si>
  <si>
    <t>2c) Zusätzliche Hinweise für extensive Pouletmastbetriebe</t>
  </si>
  <si>
    <t>Inhaltsverzeichnis:</t>
  </si>
  <si>
    <t>Sie erfassen die Gehalte der Futtermittel, die Anfangs- und Endbestände.</t>
  </si>
  <si>
    <t>Sie erfassen die Mengen der zugekauften Futtermittel.</t>
  </si>
  <si>
    <t>Abgleich der Jahresliefermenge mit Auszügen der Futtermühle.</t>
  </si>
  <si>
    <t>=&gt; ausführliche Anleitung:</t>
  </si>
  <si>
    <t>Bedienungsanleitung</t>
  </si>
  <si>
    <t>1 Allgemeine Hinweise zur Bedienung</t>
  </si>
  <si>
    <t>2 Hinweise zum Ausfüllen der Tabellenblätter</t>
  </si>
  <si>
    <t xml:space="preserve">Makros: </t>
  </si>
  <si>
    <t>Zum Tabellenblatt "Inv" wechseln</t>
  </si>
  <si>
    <t>Beispiel: Umtriebe 1, 3, 5 =&gt; Tabellenblatt Poulet 1; Umtriebe 2, 4, 6 =&gt; Tabellenblatt Poulet2</t>
  </si>
  <si>
    <t>Auswahl der Tierart Mastpoulets =&gt; automatisches Springen auf Tabellenblatt Poulet1</t>
  </si>
  <si>
    <t xml:space="preserve"> Wählen Sie die Sprache, erfassen Sie Ihre Adresse, die Periode und Tierart</t>
  </si>
  <si>
    <t xml:space="preserve">- Tabellenblatt Plausi: Durchschnittsbestand eintragen und massgebenden Nährstoffanfall  </t>
  </si>
  <si>
    <t xml:space="preserve">   auf Suisse-Bilanz übertragen</t>
  </si>
  <si>
    <t xml:space="preserve"> - </t>
  </si>
  <si>
    <t>Schlachtausbeute:</t>
  </si>
  <si>
    <t>Schweinetyp/Schlachtart</t>
  </si>
  <si>
    <t>Mutterschweine, gebrüht</t>
  </si>
  <si>
    <t>Mutterschweine, gehäutet</t>
  </si>
  <si>
    <t>Ausbeute</t>
  </si>
  <si>
    <t xml:space="preserve">   Achtung: Futtergehalte immer in g pro kg erfassen!</t>
  </si>
  <si>
    <t>Version</t>
  </si>
  <si>
    <t>2.3a</t>
  </si>
  <si>
    <t xml:space="preserve">GT </t>
  </si>
  <si>
    <t>Poulet-Blätter: Beheben einer Ungenauigkeit bei der Übertragung der Inventarwerte</t>
  </si>
  <si>
    <t xml:space="preserve"> - Neue Tiefstwerte bei Junghennen und Mastpoulets</t>
  </si>
  <si>
    <t xml:space="preserve"> - Auswahl der Schlachtart bei Schweinen (Ausbeute)</t>
  </si>
  <si>
    <t xml:space="preserve"> - Fehlerkorrektur bei Seitenzahlen auf Poulet-Blättern</t>
  </si>
  <si>
    <t xml:space="preserve"> - Einbau eines Menüs "Tabellenblätter" mit den Untermenüs "Blatt wählen" und "drucken", fakultatives Inhaltsverzeichnis</t>
  </si>
  <si>
    <t xml:space="preserve"> - Neues Blatt mit Hinweisen zur Bedienung des Programmes als Startseite</t>
  </si>
  <si>
    <t>2a) Instructions pour les porcs, poulettes, dindes à l’engrais et lapins</t>
  </si>
  <si>
    <t>2b) Instructions pour les exploitations ayant des poulets à l‘engrais</t>
  </si>
  <si>
    <t>2c) Indications supplémentaires pour des exploitations ayant des poulets à l‘engrais extensif</t>
  </si>
  <si>
    <t>1 Indications générales concernant l‘utilisation</t>
  </si>
  <si>
    <t>Les macros doivent être autorisées.</t>
  </si>
  <si>
    <t>=&gt; Instructions en détail</t>
  </si>
  <si>
    <t>Saisie des données</t>
  </si>
  <si>
    <t>Cellules jaunes</t>
  </si>
  <si>
    <t>Selon les besoins, vous pouvez ici saisir du texte ou des chiffres</t>
  </si>
  <si>
    <t>Cellules blanches</t>
  </si>
  <si>
    <t>Ces cellules sont généralement bloquées à la saisie</t>
  </si>
  <si>
    <t xml:space="preserve">  und das Untermenu "Tabellenblätter"</t>
  </si>
  <si>
    <t>- Excel 2003: Wählen Sie das Menu "Tabellenblätter"</t>
  </si>
  <si>
    <t>Enregistrement du fichier:</t>
  </si>
  <si>
    <t>den Dateityp „Excel-Arbeitsmappe mit Makros“ (.xlsm) angeben.</t>
  </si>
  <si>
    <t>2 Notes concernant le remplissage des tableaux</t>
  </si>
  <si>
    <t>Tenez tous les documents (listing des aliments, poids abattus…) à portée de main.</t>
  </si>
  <si>
    <t>Les virgules ne sont pas acceptées! Toutes les virgules et dates doivent être saisies avec des points (« . »).</t>
  </si>
  <si>
    <t>2a) Instructions concernant les porcs, poulettes, dindes et lapins</t>
  </si>
  <si>
    <t>1. Start au tableau Inv [=Inventaire]:</t>
  </si>
  <si>
    <t>Choisissez la langue, saisissez votre adresse, la période et la catégorie d’animaux</t>
  </si>
  <si>
    <t>2. Saisie des données sur les fiches suivantes (poulets à l’engrais =&gt; voir point 2b)</t>
  </si>
  <si>
    <t>2. Datenerfassung auf folgenden Datenblättern (Mastpoulet =&gt; siehe Punkt 2b):</t>
  </si>
  <si>
    <t>- Tabellenblätter A2a-e: alle Tierausgänge</t>
  </si>
  <si>
    <t xml:space="preserve">   Bei Schweinen: Aufteilung der Tierkategorien auf verschiedene Tabellenblätter</t>
  </si>
  <si>
    <t xml:space="preserve">   und Wahl der richtigen Schlachtausbeute. Bsp: Auf A2a Mastschweine erfassen,</t>
  </si>
  <si>
    <t xml:space="preserve">   auf A2b Muttersauen gebrüht, auf A2c Muttersauen gehäutet, etc.</t>
  </si>
  <si>
    <t>1. Start à la fiche Inv [Inventaire]:</t>
  </si>
  <si>
    <t>Choix de la langue, saisie de l’adresse et de la période.</t>
  </si>
  <si>
    <t>La période est toujours du 1.1.20xx au 31.12.20xx. L’inventaire des animaux ne doit PAS être saisi.</t>
  </si>
  <si>
    <t>Choix de la catégorie « poulets à l’engrais » =&gt; transfert automatiquement vers Poulet1</t>
  </si>
  <si>
    <t>2. Fiches Poulet1, Poulet2, …:</t>
  </si>
  <si>
    <t>2. Tabellenblatt Poulet1, Poulet2, …:</t>
  </si>
  <si>
    <t>Saisissiez les dates et nombres de toutes les rotations.</t>
  </si>
  <si>
    <t>Erfassen Sie Daten und Stückzahlen aller Umtriebe.</t>
  </si>
  <si>
    <t>Achtung, im letzten Jahr angefangene bzw. Umtriebe, die erst im Folgejahr</t>
  </si>
  <si>
    <t xml:space="preserve">abgeschlossen sind, sind GANZ zu erfassen. </t>
  </si>
  <si>
    <t xml:space="preserve">Das Programm berechnet die Abgrenzung automatisch. </t>
  </si>
  <si>
    <t>Ist der ausgewiesene Durchschnittsbestand &gt; 3'000 Stück muss auch das Lebendgewicht</t>
  </si>
  <si>
    <t>erfasst werden und eine vollständige Import/Exportbilanz ausgefüllt werden.</t>
  </si>
  <si>
    <t>Ist der errechnete Durchschnittsbestand &lt; 3'000 Stück, so muss</t>
  </si>
  <si>
    <t xml:space="preserve">3. Schaltfläche „Zu- und Verkäufe </t>
  </si>
  <si>
    <t>Attention : il faut d’abord saisir toutes les rotations.</t>
  </si>
  <si>
    <t>Achtung, zuerst alle Umtriebe erfassen.</t>
  </si>
  <si>
    <t>4. Fiche Inv:</t>
  </si>
  <si>
    <t>4. Tabellenblatt Inv:</t>
  </si>
  <si>
    <t>Saisissez les teneurs des aliments et les inventaires début/fin</t>
  </si>
  <si>
    <t>Achtung, Futtermittelgehalte in Gramm erfassen. Bsp.: 21% RP = 210 g RP pro kg Futter</t>
  </si>
  <si>
    <t>5. Fiche B1-B4</t>
  </si>
  <si>
    <t>5. Tabellenblatt B1-B4:</t>
  </si>
  <si>
    <t>Saisissez la quantité des aliments achetés.</t>
  </si>
  <si>
    <t>Comparer le total des aliments livrés dans cette année et le listing du fournisseur d’aliments.</t>
  </si>
  <si>
    <t>6. Fiche Poulet_tot :</t>
  </si>
  <si>
    <t>6. Tabellenblatt Poulet_tot:</t>
  </si>
  <si>
    <t>Résultats concernant l’effectif moyen</t>
  </si>
  <si>
    <t>7. Fiche Impex :</t>
  </si>
  <si>
    <t>7. Tabellenblatt Impex:</t>
  </si>
  <si>
    <t>Résultat concernant le bilan import/export</t>
  </si>
  <si>
    <t xml:space="preserve">Contrôle : Le bilan des animaux doit être égal à zéro, </t>
  </si>
  <si>
    <t>8. Fiche Plausi :</t>
  </si>
  <si>
    <t>8. Tabellenblatt Plausi:</t>
  </si>
  <si>
    <t>2c) Indications supplémentaires pour des exploitations ayant des poulets à l’engrais extensif (Bio)</t>
  </si>
  <si>
    <t>Saisir les rotations en alternand dans les fiches Poulet1 et Poulet2</t>
  </si>
  <si>
    <t>Exemple: Rotations 1, 3, 5 =&gt; Fiche Poulet1; Rotations 2, 4, 6 =&gt; Fiche Poulet2</t>
  </si>
  <si>
    <t>Changer au tableur « Inv »</t>
  </si>
  <si>
    <t>Rendement d'abattage</t>
  </si>
  <si>
    <t>die Ctrl - Taste gedrückt. Das Betätigen der oberen Schaltfläche markiert alle Blätter.</t>
  </si>
  <si>
    <t>2b) Anleitung für Mastpouletbetriebe</t>
  </si>
  <si>
    <t>das Lebendgewicht nicht erfasst werden.</t>
  </si>
  <si>
    <t>Si l’effectif moyen calculé est inférieur à 3‘000 poulets,</t>
  </si>
  <si>
    <t>le poids vivant ne doit pas être saisi.</t>
  </si>
  <si>
    <t>transfert de toutes le entrées et sorties d’animaux dans les fiches A1a-c et A2a-c.</t>
  </si>
  <si>
    <t>Poulets à l'engrais poulailler 1</t>
  </si>
  <si>
    <t>Poulets à l'engrais poulailler 2</t>
  </si>
  <si>
    <t>Poulets à l'engrais poulailler 3</t>
  </si>
  <si>
    <t>La délimitation de l’année s’effectue automatiquement.</t>
  </si>
  <si>
    <t>Attention : les rotations qui ont commencé avant la période</t>
  </si>
  <si>
    <t>ou qui finissent après la période doivent être saisies entièrement.</t>
  </si>
  <si>
    <t xml:space="preserve">vous devez choisir le type « fichier Excel avec macros » (.xlsm). </t>
  </si>
  <si>
    <t>En appuyant sur ce bouton toutes les feuilles seront sélectionnées.</t>
  </si>
  <si>
    <t>pré-engraissement et d’engraissement</t>
  </si>
  <si>
    <t xml:space="preserve">Exploitation ayant des poulaillers de </t>
  </si>
  <si>
    <t>« Compléments » et le sous-menu « Feuilles »</t>
  </si>
  <si>
    <t>Mastschweine&amp;Remonten  &lt; 6 Mte</t>
  </si>
  <si>
    <t>Abgesetzte Ferkel bis 25 kg LG</t>
  </si>
  <si>
    <t>Complément:</t>
  </si>
  <si>
    <t>Truies allaitantes</t>
  </si>
  <si>
    <t>Truies non allaitantes &gt; 6 mois</t>
  </si>
  <si>
    <t>Verrats d'élevage</t>
  </si>
  <si>
    <t>Porcelets sevrés</t>
  </si>
  <si>
    <t>Porcelets allaités</t>
  </si>
  <si>
    <t>Dindes de tout âge</t>
  </si>
  <si>
    <t>Dindes pour le préengraissement</t>
  </si>
  <si>
    <t>Dindes pour l'engraissement complet</t>
  </si>
  <si>
    <t>Jeunes animaux</t>
  </si>
  <si>
    <t>Autres lapins</t>
  </si>
  <si>
    <t>Lapines reproductrices</t>
  </si>
  <si>
    <t>Porcs à l'engrais/remontes&lt;6 mois</t>
  </si>
  <si>
    <t>Jeunes poules</t>
  </si>
  <si>
    <t>Excel 2003: Choisissiez le menu «Feuilles »</t>
  </si>
  <si>
    <t>Mittelwert Anfangs- und Endbestand</t>
  </si>
  <si>
    <t>Bemerkungen zur Berechnung der Durchschnittsbestände bei Schweinen</t>
  </si>
  <si>
    <t>- Kombinierte Betriebe berücksichtigen bei den Mastschweinen neben einem Zuwachs von 240 kg das Inventar und die eigene Remontierung</t>
  </si>
  <si>
    <t>Definitionen Blatt Plausi ergänzen</t>
  </si>
  <si>
    <t>Ab hier IWE Juli 2013</t>
  </si>
  <si>
    <t xml:space="preserve">  sowie allfällige übergewichtige Ferkel (=&gt; sämtlicher Zuwachs zwischen 25 und 105 kg LG)</t>
  </si>
  <si>
    <t>- AFP Säugende Zuchtschweine:  Der berechnete Durchschnittsbestand gemäss Formel kann maximal dem Mittelwert der eingestallten Tiere entsprechen</t>
  </si>
  <si>
    <t xml:space="preserve">       Gewichtsabnahme Tiereingang und Tierausgang: standardmässig 50 kg, sonst Wägung</t>
  </si>
  <si>
    <t>- AFP Galtsauen: Gewichtszunahme Tiereingang und Tierausgang: standardmässig 50 kg, sonst Wägung</t>
  </si>
  <si>
    <t>- Zuchtschweineplätze und Eberplätze: Allfällige Jahresschwankungen rechtfertigen eine Abweichung vom Mittelwert des Anfangs- und Endbestandes</t>
  </si>
  <si>
    <t xml:space="preserve">       (z.B. falls bei jedem Umtrieb 30 Sauen eingestallt werden, kann der Durchschnittsbestand nicht grösser als 30 sein).</t>
  </si>
  <si>
    <t xml:space="preserve">Ø des effectifs début et fin </t>
  </si>
  <si>
    <r>
      <t>Mittelwert (</t>
    </r>
    <r>
      <rPr>
        <sz val="10"/>
        <rFont val="Arial"/>
      </rPr>
      <t>Zukauf 365d + Ausgang 365d) geteilt durch 3.1 Umtr.</t>
    </r>
  </si>
  <si>
    <r>
      <t>Mittelwert (</t>
    </r>
    <r>
      <rPr>
        <sz val="10"/>
        <rFont val="Arial"/>
      </rPr>
      <t>Zukauf 365d + Ausgang 365d)</t>
    </r>
  </si>
  <si>
    <r>
      <t>Mittelwert (</t>
    </r>
    <r>
      <rPr>
        <sz val="10"/>
        <rFont val="Arial"/>
      </rPr>
      <t>Zukauf 365d + Ausgang 365d) geteilt durch 8.2 Umtr.</t>
    </r>
  </si>
  <si>
    <t>Ø (achats 365 j + sortie 365 j) divisé par 3.1 rotations</t>
  </si>
  <si>
    <t>Ø (achats 365 j + sortie 365 j)</t>
  </si>
  <si>
    <t>Ø (achats 365 j + sortie 365 j) divisé par 8.2 rotations</t>
  </si>
  <si>
    <t>Remarques pour le calcul du cheptel moyen chez les porcs :</t>
  </si>
  <si>
    <t>- Les exploitations mixtes tiennent compte pour les porcs à l'engrais d'une croissance de 240 kg, de l'inventaire, de leur propre remonte,</t>
  </si>
  <si>
    <t>- Places truie d'élevage et places verrat: des éventuelles fluctuations annuelles justifient un écart de la moyenne des cheptels début et fin.</t>
  </si>
  <si>
    <t>- Places truie allaitante:  Le cheptel moyen calculé selon la formule peut atteindre au plus la moyenne des animaux en stabulation.</t>
  </si>
  <si>
    <t xml:space="preserve">       (p.ex.  Si, lors de chaque rotation, 30 truies entrent en stabulation, le cheptel moyen ne peut dépasser 30).</t>
  </si>
  <si>
    <t xml:space="preserve">       Diminution de poids entre entrée et sortie des animaux : valeur standard 50 kg ou pesage.</t>
  </si>
  <si>
    <t>- Place truie non allaitante: Diminution de poids entre entrée et sortie des animaux: valeur standard 50 kg ou pesage.</t>
  </si>
  <si>
    <t>- Les exploitations de mise bas avec élevage tiennent compte d'un croît de 176 kg et de l'inventaire (=&gt; tous les croîts entre 9 et 25 kg PV).</t>
  </si>
  <si>
    <t xml:space="preserve">  ainsi que d'éventuels porcelets en surpoids (=&gt; tous les croîts entre 25 et 105 kg PV).</t>
  </si>
  <si>
    <t>GT 2013</t>
  </si>
  <si>
    <t>2.5a</t>
  </si>
  <si>
    <t>Anfangsinventarwert korrigieren, wenn letzter Umtrieb am 31.12. eingestallt wird. Grund: mit bisheriger Formel war Endinventar vom alten Jahr&lt;&gt;Anfangsinventar vom neuen Jahr, weil der Einstallungstag nie als Tag für Wachstum zählt. Die Kücken sind 1 Tag alt, erst am Tag nach der Einstallung und haben dann 40 g. Stallt man am 31. ein, so waren sie bisher 0 Tage alt, mit 0 g Gewicht. Formel ergänzt in M17, so dass, wenn N17=0, dann sind sie trotzdem 1 Tag alt.</t>
  </si>
  <si>
    <t>Th. Schildknecht</t>
  </si>
  <si>
    <t>Futtermittel erweitern</t>
  </si>
  <si>
    <t xml:space="preserve">A1a: Tiereingang </t>
  </si>
  <si>
    <t xml:space="preserve">A1b: Tiereingang </t>
  </si>
  <si>
    <t>Valeur à reporter dans le Suisse-Bilanz</t>
  </si>
  <si>
    <t xml:space="preserve">A1c: Tiereingang </t>
  </si>
  <si>
    <t xml:space="preserve">A1d: Tiereingang </t>
  </si>
  <si>
    <t xml:space="preserve">A1e: Tiereingang </t>
  </si>
  <si>
    <t>A2a: Tierausgang</t>
  </si>
  <si>
    <t>A2b: Tierausgang</t>
  </si>
  <si>
    <t>A2c: Tierausgang</t>
  </si>
  <si>
    <t>A2d: Tierausgang</t>
  </si>
  <si>
    <t>A2e: Tierausgang</t>
  </si>
  <si>
    <t>B1: Mischfutterzufuhr</t>
  </si>
  <si>
    <t>B2: Mischfutterzufuhr</t>
  </si>
  <si>
    <t>B3: Mischfutterzufuhr</t>
  </si>
  <si>
    <t>B4: Mischfutterzufuhr</t>
  </si>
  <si>
    <t>B5: Futterzufuhr</t>
  </si>
  <si>
    <t>B6: Futterzufuhr</t>
  </si>
  <si>
    <t xml:space="preserve">Bestehende Inhalte in den zusätzlichen Futtermittelzeilen werden unwiderruflich gelöscht! </t>
  </si>
  <si>
    <t>Sur cette feuille vous ne pouvez pas ajouter des lignes !</t>
  </si>
  <si>
    <t>Choisissez une seule ligne !</t>
  </si>
  <si>
    <t>Ici vous ne pouvez pas ajouter des lignes !</t>
  </si>
  <si>
    <t>Sur cette feuille vous ne pouvez pas effacer des lignes !</t>
  </si>
  <si>
    <t>La position sélectionnée contient des lignes qui ne peuvent pas être effacées !</t>
  </si>
  <si>
    <t>Fax / e-mail:</t>
  </si>
  <si>
    <t>Fax / E-Mail:</t>
  </si>
  <si>
    <t>maximale</t>
  </si>
  <si>
    <t>Stallplätze</t>
  </si>
  <si>
    <t>Sur cette feuille vous ne pouvez pas découper des lignes !</t>
  </si>
  <si>
    <t>La position sélectionnée contient des lignes qui ne peuvent pas être décalées !</t>
  </si>
  <si>
    <t>Décaler ne peut pas être interrompu par une autre opération !</t>
  </si>
  <si>
    <t>Vous ne pouvez pas ajouter les lignes sur une autre feuille !</t>
  </si>
  <si>
    <t>Ici vous ne pouvez pas ajouter les lignes découpées !</t>
  </si>
  <si>
    <t>existantes dans les fiches cible seront écrasées !</t>
  </si>
  <si>
    <t>Vous devez d'abord entrer le début et la fin de l'année de contrôle !</t>
  </si>
  <si>
    <t>La date début doit être le 1er janvier !</t>
  </si>
  <si>
    <t>La date fin doit être le 31 décembre !</t>
  </si>
  <si>
    <t>Production des éléments nutritifs effectifs à reporter dans le Suisse-Bilanz</t>
  </si>
  <si>
    <t>L'année de la date début et de date fin doit être la même !</t>
  </si>
  <si>
    <t>rotation saisie ne correspondent pas !</t>
  </si>
  <si>
    <t>Voulez-vous continuer ?</t>
  </si>
  <si>
    <t>BX1: Mischfutterzufuhr</t>
  </si>
  <si>
    <t>BX2: Mischfutterzufuhr</t>
  </si>
  <si>
    <t>BX3: Mischfutterzufuhr</t>
  </si>
  <si>
    <t>Adresszusatz:</t>
  </si>
  <si>
    <t>BX4: Mischfutterzufuhr</t>
  </si>
  <si>
    <t>BX5: Futterzufuhr</t>
  </si>
  <si>
    <t>2.5b</t>
  </si>
  <si>
    <t xml:space="preserve">Cette action efface de manière irréversible toutes les données dans les lignes supplémentaires des aliments ! </t>
  </si>
  <si>
    <t>Nicht säugende Zuchtsauen &gt; 6 Mte</t>
  </si>
  <si>
    <t>Zuchteber</t>
  </si>
  <si>
    <t>Saugferkel</t>
  </si>
  <si>
    <t>Mastpoulets Stall 1</t>
  </si>
  <si>
    <t>Mastpoulets Stall 2</t>
  </si>
  <si>
    <t>Mastpoulets Stall 3</t>
  </si>
  <si>
    <t>Truten jeden Alters</t>
  </si>
  <si>
    <t>Trutenvormast</t>
  </si>
  <si>
    <t>Trutenausmast</t>
  </si>
  <si>
    <t>Produz. Zibbe</t>
  </si>
  <si>
    <t>Jungtiere</t>
  </si>
  <si>
    <t>Andere Kaninchen</t>
  </si>
  <si>
    <t>Code</t>
  </si>
  <si>
    <t>Ajouter des aliments supplém.</t>
  </si>
  <si>
    <t>- Excel 2007, 2010 bzw. 2013: Wählen Sie das Menu "Add-Ins"</t>
  </si>
  <si>
    <t>Excel 2007, 2010 ainsi que 2013: Choisissez le menu</t>
  </si>
  <si>
    <t>Attention : avec Excel 2007, 2010 ainsi que 2013: Sous « enregistrer sous »</t>
  </si>
  <si>
    <t xml:space="preserve">Achtung bei Excel 2007, 2010 bzw. 2013 müssen Sie beim „Speichern unter“ </t>
  </si>
  <si>
    <t>DFE: Die Futtermittelliste soll erweitert werden können, um mehr Futtermittel zu erfassen. Da dieses Bedürfnis nur bei einem speziellen Kunden besteht, soll sich für die übrigen Anwender möglichst wenig ändern. Die für die Erweiterung erforderliche Veränderung der Datei wird durch das Kontrollkästchen "Futtermittel erweitern" auf dem Blatt "Inv" angestossen. Kleinere Formatkorrekturen</t>
  </si>
  <si>
    <t>- AFP Abferkelbetrieb mit Ferkelaufzucht berücksichtigen neben dem Zuwachs von 176 kg auch das Inventar (=&gt; sämtlicher Zuwachs zwischen 9 und 25 kg LG)</t>
  </si>
  <si>
    <t>par simple clic pour l'impression. Pour une sélection multiple, pressez Ctrl pendant le processus de sélection.</t>
  </si>
  <si>
    <t>Choisissez la catégorie correcte!</t>
  </si>
  <si>
    <t>Lorsque vous choisissez le sous-menu « Imprimer », une liste de sélection apparait</t>
  </si>
  <si>
    <t>dans laquelle une ou plusieurs feuilles de calcul peuvent être sélectionnées</t>
  </si>
  <si>
    <t>Si « poulets à l’engrais » apparaît automatiquement dans le tableau</t>
  </si>
  <si>
    <t>Poulet1 lors du choix de l’espèce, les macros sont autorisées</t>
  </si>
  <si>
    <t xml:space="preserve">  Attention: Les saisies des teneurs des aliments doivent toujours être faites en g par kg !</t>
  </si>
  <si>
    <t>- De plus, sur  la fiche Inv: Inventaire des aliments et animaux</t>
  </si>
  <si>
    <t>- Fiche A1a-e: Toutes les entrées des animaux</t>
  </si>
  <si>
    <t>- Fiche A2a-e: Toutes les sorties des animaux</t>
  </si>
  <si>
    <t xml:space="preserve">  Porcs: Répartition des catégories d’animaux sur les différentes fiches</t>
  </si>
  <si>
    <t xml:space="preserve">  et choix du rendement d’abattage concerné. Par exemple :</t>
  </si>
  <si>
    <t xml:space="preserve">  A2a saisie des porcs à l’engrais, A2b truies mères échaudées, A2c truies mères dépouillées, etc.</t>
  </si>
  <si>
    <t>- Page B1-5: Tous les aliments</t>
  </si>
  <si>
    <t>- Fiche Impex: Aperçu/résultats. Le bilan des animaux doit être égal à zéro.</t>
  </si>
  <si>
    <t>- Fiche Plausi: Saisie de l’effectif moyen et transfert de la production</t>
  </si>
  <si>
    <t xml:space="preserve">  des éléments nutritifs dans le Suisse-Bilanz</t>
  </si>
  <si>
    <t>Si l’effectif moyen calculé est supérieur à 3‘000 poulets,</t>
  </si>
  <si>
    <t>le poids vivant doit aussi être saisi ainsi qu’un bilan import/export complet calculé.</t>
  </si>
  <si>
    <t>Attention : les teneurs des aliments doivent être saisies en g! Exemple : 21% MA= 210 g MA par kg aliment</t>
  </si>
  <si>
    <t>3. Bouton de commande «Achat et</t>
  </si>
  <si>
    <t xml:space="preserve"> </t>
  </si>
  <si>
    <t>Hinweis aud den A2-Blättern bei Schweinen bzgl. der Kategorien geändert, Textanpassung Impex (Einverständniserkl.)</t>
  </si>
  <si>
    <t xml:space="preserve">    nach A1a und A2a übertragen“ </t>
  </si>
  <si>
    <t xml:space="preserve">    vente transférés dans A1c et A2c»:</t>
  </si>
  <si>
    <t>Überträgt alle Tierzu- und Weggänge in die Blätter A1a-c und A2a-c.</t>
  </si>
  <si>
    <t>Mastschweine</t>
  </si>
  <si>
    <t>porcs d'engraissement</t>
  </si>
  <si>
    <t>truies, échaudées</t>
  </si>
  <si>
    <t>truies, dépouillées</t>
  </si>
  <si>
    <t>Versions-Nummer:</t>
  </si>
  <si>
    <t>Impex</t>
  </si>
  <si>
    <t>BlattRef:</t>
  </si>
  <si>
    <t>page</t>
  </si>
  <si>
    <t>Seite</t>
  </si>
  <si>
    <t>Li&amp;gnes</t>
  </si>
  <si>
    <t>&amp;Zeilen</t>
  </si>
  <si>
    <t>a&amp;jouter une ligne</t>
  </si>
  <si>
    <t>Zeile &amp;einfügen</t>
  </si>
  <si>
    <t>ajouter &amp;plusieurs lignes</t>
  </si>
  <si>
    <t>&amp;Mehrere Zeilen einfügen</t>
  </si>
  <si>
    <t>e&amp;ffacer les lignes sélectionnées</t>
  </si>
  <si>
    <t>Markierte Zeilen &amp;löschen</t>
  </si>
  <si>
    <t>&amp;découper les lignes sélectionnées</t>
  </si>
  <si>
    <t>Markierte Zeilen &amp;ausschneiden</t>
  </si>
  <si>
    <t>d&amp;écaler les lignes découpées</t>
  </si>
  <si>
    <t>Ausgeschnittene Zeilen &amp;verschieben</t>
  </si>
  <si>
    <t>Vous ne pouvez pas sélectionner plusieurs cellules!</t>
  </si>
  <si>
    <t>Mehrfachmarkierung nicht erlaubt!</t>
  </si>
  <si>
    <t>Nombre de lignes</t>
  </si>
  <si>
    <t>Anzahl Zeilen</t>
  </si>
  <si>
    <t>Ajouter des lignes</t>
  </si>
  <si>
    <t>Zeilen einfügen</t>
  </si>
  <si>
    <t>Auf diesem Blatt können keine Zeilen eingefügt werden</t>
  </si>
  <si>
    <t>Zum Einfügen darf nur eine Zeile ausgewählt sein!</t>
  </si>
  <si>
    <t>Hier können keine Zeilen eingefügt werden!</t>
  </si>
  <si>
    <t>Auf diesem Blatt können keine Zeilen gelöscht werden</t>
  </si>
  <si>
    <t>Der markierte Bereich enthält Zeilen, die nicht gelöscht werden dürfen!</t>
  </si>
  <si>
    <t>Auf diesem Blatt können keine Zeilen ausgeschnitten werden</t>
  </si>
  <si>
    <t>Korrekte Tierkategorie für die Eingabe in kg SG wählen!</t>
  </si>
  <si>
    <t>?</t>
  </si>
  <si>
    <t>Massgebenden Nährstoffanfall auf Suisse-Bilanz übertragen.</t>
  </si>
  <si>
    <t>Der Betriebsleiter ist damit einverstanden, dass das Resultat dieser Berechnung zur Beurteilung der Suisse-Bilanz</t>
  </si>
  <si>
    <t>L'exploitant autorise le calcul du Suisse-Bilanz</t>
  </si>
  <si>
    <t>berücksichtigt wird.</t>
  </si>
  <si>
    <t>Der markierte Bereich enthält Zeilen, die nicht verschoben werden dürfen!</t>
  </si>
  <si>
    <t>Verschieben darf nicht durch eine andere Operation unterbrochen werden!</t>
  </si>
  <si>
    <t>Die Zeilen können nicht in ein anderes Blatt eingefügt werden!</t>
  </si>
  <si>
    <t>Hier können die ausgeschnittenen Zeilen nicht eingefügt werden!</t>
  </si>
  <si>
    <t>Anfang</t>
  </si>
  <si>
    <t>Ende</t>
  </si>
  <si>
    <t>&lt; 60 kg</t>
  </si>
  <si>
    <t>&gt; 60 kg</t>
  </si>
  <si>
    <t>&gt;60 kg</t>
  </si>
  <si>
    <t>Anzahl</t>
  </si>
  <si>
    <t>LG total</t>
  </si>
  <si>
    <t>Verkauf</t>
  </si>
  <si>
    <t>Total LG</t>
  </si>
  <si>
    <t>.........................................…</t>
  </si>
  <si>
    <t>Ntot</t>
  </si>
  <si>
    <t>Porcs</t>
  </si>
  <si>
    <t>Poulettes</t>
  </si>
  <si>
    <t>Lapins</t>
  </si>
  <si>
    <r>
      <t>N</t>
    </r>
    <r>
      <rPr>
        <vertAlign val="subscript"/>
        <sz val="10"/>
        <rFont val="Arial"/>
        <family val="2"/>
      </rPr>
      <t>tot</t>
    </r>
    <r>
      <rPr>
        <sz val="10"/>
        <rFont val="Arial"/>
        <family val="2"/>
      </rPr>
      <t>/kg (g)</t>
    </r>
  </si>
  <si>
    <t>Tot VES</t>
  </si>
  <si>
    <t>kg Futter</t>
  </si>
  <si>
    <t>Total</t>
  </si>
  <si>
    <r>
      <t>1 kg N</t>
    </r>
    <r>
      <rPr>
        <vertAlign val="subscript"/>
        <sz val="10"/>
        <rFont val="Arial"/>
        <family val="2"/>
      </rPr>
      <t>tot</t>
    </r>
  </si>
  <si>
    <t>1 kg P</t>
  </si>
  <si>
    <t>= 2.291 kg P2O5</t>
  </si>
  <si>
    <t>kg</t>
  </si>
  <si>
    <t>Total Anzahl Tiere Zukauf</t>
  </si>
  <si>
    <t>Gewicht</t>
  </si>
  <si>
    <t>Gewicht pro Tier</t>
  </si>
  <si>
    <t>kg/kg</t>
  </si>
  <si>
    <t>bis 60 Kg</t>
  </si>
  <si>
    <t>MJ</t>
  </si>
  <si>
    <t>ab 60 Kg</t>
  </si>
  <si>
    <t>MJ/kg</t>
  </si>
  <si>
    <t>Total Anzahl Tiere Verkauf</t>
  </si>
  <si>
    <t>Reserve</t>
  </si>
  <si>
    <t>Texte</t>
  </si>
  <si>
    <t>Français</t>
  </si>
  <si>
    <t>Deutsch</t>
  </si>
  <si>
    <t>Italiano</t>
  </si>
  <si>
    <t>Langue</t>
  </si>
  <si>
    <t>Catégorie</t>
  </si>
  <si>
    <t>Production porcine</t>
  </si>
  <si>
    <t>Schweinehaltung</t>
  </si>
  <si>
    <t>MJ EDP</t>
  </si>
  <si>
    <t>MJ VES</t>
  </si>
  <si>
    <t>Junghennen</t>
  </si>
  <si>
    <t>MJ EMV</t>
  </si>
  <si>
    <t>MJ UEG</t>
  </si>
  <si>
    <t>Poulets à l'engrais</t>
  </si>
  <si>
    <t>Mastpoulets</t>
  </si>
  <si>
    <t>Kaninchen</t>
  </si>
  <si>
    <t>Inventaire début et fin</t>
  </si>
  <si>
    <t>Anfangs-/Endinventar</t>
  </si>
  <si>
    <t>No cantonal:</t>
  </si>
  <si>
    <t>Betriebs-Nr:</t>
  </si>
  <si>
    <t>Nom:</t>
  </si>
  <si>
    <t>Name:</t>
  </si>
  <si>
    <t>Prénom:</t>
  </si>
  <si>
    <t>Vorname:</t>
  </si>
  <si>
    <t>Adresse:</t>
  </si>
  <si>
    <t>NPA, lieu:</t>
  </si>
  <si>
    <t>PLZ, Ort:</t>
  </si>
  <si>
    <t>Calculé par:</t>
  </si>
  <si>
    <t>Berechnet durch:</t>
  </si>
  <si>
    <t>Firme:</t>
  </si>
  <si>
    <t>Firma:</t>
  </si>
  <si>
    <t>No téléphone:</t>
  </si>
  <si>
    <t>Telefon-Nr:</t>
  </si>
  <si>
    <t>Date début:</t>
  </si>
  <si>
    <t>Date fin:</t>
  </si>
  <si>
    <t>Inventaire des animaux</t>
  </si>
  <si>
    <t>Tierinventar</t>
  </si>
  <si>
    <t>Début de la période</t>
  </si>
  <si>
    <t>Anfang der Periode</t>
  </si>
  <si>
    <t>Fin de la période</t>
  </si>
  <si>
    <t>Ende der Periode</t>
  </si>
  <si>
    <t>Nombre</t>
  </si>
  <si>
    <t>Poids</t>
  </si>
  <si>
    <t>PV/anim.</t>
  </si>
  <si>
    <t>LG/Tier</t>
  </si>
  <si>
    <t>PV</t>
  </si>
  <si>
    <t>LG</t>
  </si>
  <si>
    <t>Total inventaire animaux</t>
  </si>
  <si>
    <t>Total Tierinventar</t>
  </si>
  <si>
    <t>Inventaire aliments</t>
  </si>
  <si>
    <t>Futtermittelinventar</t>
  </si>
  <si>
    <t>Aliments</t>
  </si>
  <si>
    <t>Futterlieferant</t>
  </si>
  <si>
    <t>Mischfuttermittel</t>
  </si>
  <si>
    <t>Teneur par kg aliment</t>
  </si>
  <si>
    <t>Gehalte in kg Futter</t>
  </si>
  <si>
    <t>MS en %</t>
  </si>
  <si>
    <t>TS in %</t>
  </si>
  <si>
    <t>g MA</t>
  </si>
  <si>
    <t>g RP</t>
  </si>
  <si>
    <t>g P</t>
  </si>
  <si>
    <t>Début</t>
  </si>
  <si>
    <t>Fin</t>
  </si>
  <si>
    <t>kg d'aliment</t>
  </si>
  <si>
    <t>Menge in kg Futter</t>
  </si>
  <si>
    <t>Autres aliments</t>
  </si>
  <si>
    <t>Andere Futtermittel</t>
  </si>
  <si>
    <t>Teneurs par kg de MS</t>
  </si>
  <si>
    <t>Gehalte in kg TS</t>
  </si>
  <si>
    <t>kg de MF</t>
  </si>
  <si>
    <t>Menge in kg FS</t>
  </si>
  <si>
    <t>Fourrages</t>
  </si>
  <si>
    <t>Raufutter</t>
  </si>
  <si>
    <t>kg de MS</t>
  </si>
  <si>
    <t>Menge in kg TS</t>
  </si>
  <si>
    <t>Maïs plante entière</t>
  </si>
  <si>
    <t>Mais ganze Pflanze</t>
  </si>
  <si>
    <t>Herbages (herbe, silo, ...)</t>
  </si>
  <si>
    <t>Wiesenfutter (Gras, Silo, ...)</t>
  </si>
  <si>
    <t>Lactosérum</t>
  </si>
  <si>
    <t>Schotte</t>
  </si>
  <si>
    <t>CCM</t>
  </si>
  <si>
    <t>Organisation de contrôle, Date:</t>
  </si>
  <si>
    <t>Kantonale Kontrollstelle, Datum:</t>
  </si>
  <si>
    <t>Signature:</t>
  </si>
  <si>
    <t>Unterschrift:</t>
  </si>
  <si>
    <t>L'exploitant certifie l'exactitude des informations saisies sur cette feuille ainsi que les indications sur les entrées</t>
  </si>
  <si>
    <t>Der Betriebsleiter bestätigt die Vollständigkeit der Angaben auf diesem Inventarblatt, wie auch auf den</t>
  </si>
  <si>
    <t>et les sorties d'animaux, les achats d'aliments.</t>
  </si>
  <si>
    <t>dazugehörigen Aufzeichnungen Tiereingang, Tierausgang und Futterzufuhren.</t>
  </si>
  <si>
    <t>Exploitant, Date:</t>
  </si>
  <si>
    <t>Betriebsleiter, Datum:</t>
  </si>
  <si>
    <t>Signature de l'exploitant:</t>
  </si>
  <si>
    <t>Unterschrift Betriebsleiter:</t>
  </si>
  <si>
    <t>Entrée animaux</t>
  </si>
  <si>
    <t xml:space="preserve">Tiereingang </t>
  </si>
  <si>
    <t>Entrée animaux &lt; 60 kg PV</t>
  </si>
  <si>
    <t>Zufuhr Tiere bis 60 kg LG</t>
  </si>
  <si>
    <t>Entrée animaux &gt; 60 kg PV</t>
  </si>
  <si>
    <t>Zufuhr Tiere über 60 kg LG</t>
  </si>
  <si>
    <t>Zufuhr Tiere</t>
  </si>
  <si>
    <t>Date</t>
  </si>
  <si>
    <t>Datum</t>
  </si>
  <si>
    <t>Stück</t>
  </si>
  <si>
    <t>DFE: Anpassung zur Erhebung der maximalen Anzahl der Stallplätze, Code und feste Einträge pro Tierkategorie einfügen. Zusätzliche Spalten im Kopf: Adresszusatz und eMail-Adresse, Anpassungen im Programm in Prozedur Uebertrag, Anpassung für Formatierung von Betriebsnummer und Namen in den Kopfzeilen (alle A- und B-Blätter, Plausi)</t>
  </si>
  <si>
    <t>kg PV total</t>
  </si>
  <si>
    <t>kg LG total</t>
  </si>
  <si>
    <t>Total entrée</t>
  </si>
  <si>
    <t>Total Zufuhr</t>
  </si>
  <si>
    <t>Organisation de contrôle      Date:</t>
  </si>
  <si>
    <t>Kantonale Kontrollstelle       Datum:</t>
  </si>
  <si>
    <t>kg PM total *</t>
  </si>
  <si>
    <t>kg SG total *</t>
  </si>
  <si>
    <t>Inclure les ventes, les utilisations propres et les pertes d'animaux.</t>
  </si>
  <si>
    <t xml:space="preserve"> Mit Angabe der Tierverkäufe, der Eigenversorgung und der Abgänge</t>
  </si>
  <si>
    <t>Sortie animaux &lt; 60 kg PV</t>
  </si>
  <si>
    <t>Wegfuhr Tiere bis 60 kg LG</t>
  </si>
  <si>
    <t>Sortie animaux &gt; 60 kg PV</t>
  </si>
  <si>
    <t>Wegfuhr Tiere über 60 kg LG</t>
  </si>
  <si>
    <t>Sortie animaux</t>
  </si>
  <si>
    <t>Wegfuhr Tiere</t>
  </si>
  <si>
    <t>Total sortie</t>
  </si>
  <si>
    <t>Total Wegfuhr</t>
  </si>
  <si>
    <t>Organisation de contrôle                Date:</t>
  </si>
  <si>
    <t>Kantonale Kontrollstelle              Datum:</t>
  </si>
  <si>
    <t>* = selon le système; en kg PV ou PM</t>
  </si>
  <si>
    <t>* = je nach Abrechnungsart Schweineverkauf kg SG oder kg LG eintragen</t>
  </si>
  <si>
    <t>Entrée aliments</t>
  </si>
  <si>
    <t>Mischfutterzufuhr</t>
  </si>
  <si>
    <t>Futterzufuhr</t>
  </si>
  <si>
    <t>Moulin</t>
  </si>
  <si>
    <t>par kg d'aliment</t>
  </si>
  <si>
    <t>pro kg Futter</t>
  </si>
  <si>
    <t>kg aliment</t>
  </si>
  <si>
    <t>Kantonale Kontrollstelle      Datum:</t>
  </si>
  <si>
    <t>Tous les aliments utilisés doivent être saisis.</t>
  </si>
  <si>
    <t>Es müssen alle eingesetzten Futtermittel erfasst werden.</t>
  </si>
  <si>
    <t>En kg MF</t>
  </si>
  <si>
    <t>In kg FS</t>
  </si>
  <si>
    <t>En kg MS</t>
  </si>
  <si>
    <t>In kg TS</t>
  </si>
  <si>
    <t>kg MF</t>
  </si>
  <si>
    <t>kg FS</t>
  </si>
  <si>
    <t>par kg MS</t>
  </si>
  <si>
    <t>pro kg TS</t>
  </si>
  <si>
    <t>Mois</t>
  </si>
  <si>
    <t>Monat</t>
  </si>
  <si>
    <t>kg MS</t>
  </si>
  <si>
    <t>kg TS</t>
  </si>
  <si>
    <t>Bilan import/export</t>
  </si>
  <si>
    <t>Import/Exportbilanz</t>
  </si>
  <si>
    <t>Date ?</t>
  </si>
  <si>
    <t>Datum ?</t>
  </si>
  <si>
    <t>Pas A: Exportation d'éléments fertilisants par les animaux</t>
  </si>
  <si>
    <t>Teil A: Nährstoffexport durch Tiere</t>
  </si>
  <si>
    <t>Inv.-D</t>
  </si>
  <si>
    <t>A-Inv.</t>
  </si>
  <si>
    <t>Inv.-F</t>
  </si>
  <si>
    <t>E-Inv.</t>
  </si>
  <si>
    <t>Entrées</t>
  </si>
  <si>
    <t>Zukauf</t>
  </si>
  <si>
    <t>Sorties</t>
  </si>
  <si>
    <t>PV total</t>
  </si>
  <si>
    <t>g Ntot/kg</t>
  </si>
  <si>
    <t>g P/kg</t>
  </si>
  <si>
    <t>Total kg Ntot</t>
  </si>
  <si>
    <t>Total kg P</t>
  </si>
  <si>
    <t>Animaux &lt; 60 kg PV</t>
  </si>
  <si>
    <t>Tiere bis 60 kg LG</t>
  </si>
  <si>
    <t>Animaux &gt; 60 kg PV</t>
  </si>
  <si>
    <t>Tiere ab 60 kg LG</t>
  </si>
  <si>
    <t>Animaux</t>
  </si>
  <si>
    <t>Tiere</t>
  </si>
  <si>
    <t>Exportation totale d'éléments fertilisants</t>
  </si>
  <si>
    <t>Total Nährstoffexport durch Tiere</t>
  </si>
  <si>
    <t>Pas B: Importation d'éléments fertilisants par les aliments</t>
  </si>
  <si>
    <t>Teil B: Nährstoffimport durch Futtermittel</t>
  </si>
  <si>
    <t>kg total</t>
  </si>
  <si>
    <t>% MS</t>
  </si>
  <si>
    <t>% TS</t>
  </si>
  <si>
    <t>g MA/kg</t>
  </si>
  <si>
    <t>g RP/kg</t>
  </si>
  <si>
    <t>en kg aliment</t>
  </si>
  <si>
    <t>in kg Futter</t>
  </si>
  <si>
    <t>par kg aliment</t>
  </si>
  <si>
    <t>en kg MS</t>
  </si>
  <si>
    <t>in kg TS</t>
  </si>
  <si>
    <t>Herbages</t>
  </si>
  <si>
    <t>Wiesenfutter</t>
  </si>
  <si>
    <t>Importation totale d'éléments fertilisants</t>
  </si>
  <si>
    <t>Total Nährstoffimport durch Futtermittel</t>
  </si>
  <si>
    <t>Pas C: Bilan import/export</t>
  </si>
  <si>
    <t>Teil C: Import/Export Bilanz</t>
  </si>
  <si>
    <t>kg Ntot</t>
  </si>
  <si>
    <t>kg P</t>
  </si>
  <si>
    <t>kg Nstock</t>
  </si>
  <si>
    <t>kg Nges</t>
  </si>
  <si>
    <t>kg P2O5</t>
  </si>
  <si>
    <t>Exportation par les animaux</t>
  </si>
  <si>
    <t>Nährstoffexport Tiere</t>
  </si>
  <si>
    <t>Importation par les aliments</t>
  </si>
  <si>
    <t>Nährstoffimport Futtermittel</t>
  </si>
  <si>
    <t>Pour la période</t>
  </si>
  <si>
    <t>Für die Periode</t>
  </si>
  <si>
    <t>Pour 365 jours</t>
  </si>
  <si>
    <t>Pro 365 Tage</t>
  </si>
  <si>
    <t>=&gt; Contrôle avec les valeurs minimales</t>
  </si>
  <si>
    <t>=&gt; Vergleich mit Tiefstwerten</t>
  </si>
  <si>
    <t>Pas D: Données de contrôle</t>
  </si>
  <si>
    <t>Teil D: Kontrolldaten</t>
  </si>
  <si>
    <t>Aliment 88%MS pour 365 j</t>
  </si>
  <si>
    <t>Futter 88% TS pro 365 Tage</t>
  </si>
  <si>
    <t>Aliment 88% MS par kg croît</t>
  </si>
  <si>
    <t>Futter 88% TS/kg Zuwachs</t>
  </si>
  <si>
    <t>MJ / kg croît</t>
  </si>
  <si>
    <t>MJ / kg Zuwachs</t>
  </si>
  <si>
    <t>MJ consommés en 365 jours</t>
  </si>
  <si>
    <t>MJ in 365 Tagen verfüttert</t>
  </si>
  <si>
    <t>Teneur MS lactosérum</t>
  </si>
  <si>
    <t>TS Gehalt Schotte</t>
  </si>
  <si>
    <t>dt MS de Fourrages par an</t>
  </si>
  <si>
    <t>Raufutter in dt TS pro Jahr</t>
  </si>
  <si>
    <t>Croît total par an</t>
  </si>
  <si>
    <t>Zuwachs pro 365 Tage</t>
  </si>
  <si>
    <t>PPE à partir du croît</t>
  </si>
  <si>
    <t>MSP nach Zuwachs</t>
  </si>
  <si>
    <t>Bilan animaux</t>
  </si>
  <si>
    <t>Tierbilanz</t>
  </si>
  <si>
    <t>kg PV</t>
  </si>
  <si>
    <t>kg LG</t>
  </si>
  <si>
    <t>Inventaire début</t>
  </si>
  <si>
    <t>Anfangsinventar</t>
  </si>
  <si>
    <t>Ausgang</t>
  </si>
  <si>
    <t>Inventaire fin</t>
  </si>
  <si>
    <t>Endinventar</t>
  </si>
  <si>
    <t>Bilan</t>
  </si>
  <si>
    <t>Bilanz</t>
  </si>
  <si>
    <t>Bilan total</t>
  </si>
  <si>
    <t>Bilanz aller Tiere</t>
  </si>
  <si>
    <t>avec le résultat de ce bilan import/export</t>
  </si>
  <si>
    <t>dt MS</t>
  </si>
  <si>
    <t>dt TS</t>
  </si>
  <si>
    <t>1g Ntot = 6.25 g MA</t>
  </si>
  <si>
    <t>1g Ntot = 6.25 g RP</t>
  </si>
  <si>
    <t>jours</t>
  </si>
  <si>
    <t>Tage</t>
  </si>
  <si>
    <t>PPE</t>
  </si>
  <si>
    <t>MSP</t>
  </si>
  <si>
    <t>&lt; 60 kg PV</t>
  </si>
  <si>
    <t>bis 60 kg LG</t>
  </si>
  <si>
    <t>&gt; 60 kg PV</t>
  </si>
  <si>
    <t>ab 60 kg LG</t>
  </si>
  <si>
    <t>Calcul des valeurs minimales</t>
  </si>
  <si>
    <t>Berechnung der Tiefstwerte</t>
  </si>
  <si>
    <t>Catégorie d'animaux</t>
  </si>
  <si>
    <t>Tierkategorie</t>
  </si>
  <si>
    <t>Porc à l'engrais/de remonte</t>
  </si>
  <si>
    <t>Mastschweine/Remonten</t>
  </si>
  <si>
    <t>Truie d'élevage avec porcelets &lt; 25 kg PV</t>
  </si>
  <si>
    <t>Zuchtschweine inkl. Ferkel bis 25 kg LG</t>
  </si>
  <si>
    <t>Verrat</t>
  </si>
  <si>
    <t>Eber</t>
  </si>
  <si>
    <t>Truie non allaitante</t>
  </si>
  <si>
    <t>Galtsauen</t>
  </si>
  <si>
    <t>Truie allaitante</t>
  </si>
  <si>
    <t>Säugende Zuchtsauen</t>
  </si>
  <si>
    <t>Porcelet sevré, d'env. 9 à 25 kg PV</t>
  </si>
  <si>
    <t>Abgesetzte Ferkel, von ca. 9 bis 25 kg LG</t>
  </si>
  <si>
    <t>Unité</t>
  </si>
  <si>
    <t>Einheit</t>
  </si>
  <si>
    <t>Place</t>
  </si>
  <si>
    <t>Platz</t>
  </si>
  <si>
    <t>Animal</t>
  </si>
  <si>
    <t>Définition de l'unité</t>
  </si>
  <si>
    <t>Definition der Einheit</t>
  </si>
  <si>
    <t>240 kg croît/année</t>
  </si>
  <si>
    <t>240 kg Zuwachs/Jahr</t>
  </si>
  <si>
    <t>80 kg croît</t>
  </si>
  <si>
    <t>80 kg Zuwachs</t>
  </si>
  <si>
    <t>176 kg croît/année</t>
  </si>
  <si>
    <t>176 kg Zuwachs/Jahr</t>
  </si>
  <si>
    <t>16 kg de croît/unité</t>
  </si>
  <si>
    <t>16 kg Zuwachs/Stück</t>
  </si>
  <si>
    <t>Moyenne des poulettes</t>
  </si>
  <si>
    <t>Im Durchschnitt gehaltene Junghennen</t>
  </si>
  <si>
    <t>Moyenne des poulets à l'engrais</t>
  </si>
  <si>
    <t>Im Durchschnitt gehaltene Poulets</t>
  </si>
  <si>
    <t>Nstock</t>
  </si>
  <si>
    <t>Nges</t>
  </si>
  <si>
    <t>P2O5</t>
  </si>
  <si>
    <t>Valeur minimale pour l'exploitation</t>
  </si>
  <si>
    <t>Tiefstwert für den Betrieb</t>
  </si>
  <si>
    <t>Valeur calculée par le bilan import/export</t>
  </si>
  <si>
    <t>Berechneter Wert aus Import/Export Bilanz</t>
  </si>
  <si>
    <t>Uebertrag in die Suisse-Bilanz</t>
  </si>
  <si>
    <t>Blatt</t>
  </si>
  <si>
    <t>Anpassungen</t>
  </si>
  <si>
    <t>Grund</t>
  </si>
  <si>
    <t>Neue Berechnung des MJ Verbrauch in 365 Tage (Kontrolldaten)</t>
  </si>
  <si>
    <t>GT 19.5.2004</t>
  </si>
  <si>
    <t>Futter 88% TS/365 Tage. Beim ersten Teil des futtermittel wurde bisher immer mit 88% TS gerechnet auch wenn das Futter einen anderen TS Gehalt aufwies. Zellen R20-31</t>
  </si>
  <si>
    <t>Inventar</t>
  </si>
  <si>
    <t>Anpassungen der Werte des gelben Buchs: 
Schotte  137 RP, 7.3 P; 
Maïs ganze Pflanze 100 %TS, 11 MJ, 74 RP, 2 P.</t>
  </si>
  <si>
    <t>Anpassungen ALP</t>
  </si>
  <si>
    <t>Formel C21 und F21 mit "0" statt "" =&gt; keine Fehlermeldung in Impex I58</t>
  </si>
  <si>
    <t>A. Uebersax</t>
  </si>
  <si>
    <t>K51, K53 und K54 kein Wert wenn Junghennen</t>
  </si>
  <si>
    <t>A2</t>
  </si>
  <si>
    <t>Formel in J45 und J46 fehlte</t>
  </si>
  <si>
    <t>Unvermeidbare Verluste der Junghennen (U6+C35 neu = 0.6)</t>
  </si>
  <si>
    <t>Im Durchschnitt gehaltene Zibben</t>
  </si>
  <si>
    <t>100 places</t>
  </si>
  <si>
    <t>100 animaux</t>
  </si>
  <si>
    <t>100 Stück</t>
  </si>
  <si>
    <t>100 Plätze</t>
  </si>
  <si>
    <t>Tierausgang</t>
  </si>
  <si>
    <t>Zusätzliche Tabellenblätter für Tierein- und -ausgänge; Möglichkeit, in Listenblättern Zeilen einzufügen</t>
  </si>
  <si>
    <t>Impex und Linear</t>
  </si>
  <si>
    <t>Neuaufnahme der Tierkategorien Mastpoulets und Kaninchen</t>
  </si>
  <si>
    <t>GT 12.03.08</t>
  </si>
  <si>
    <t>Wunsch von Anwendern mit grossen Tierbeständen</t>
  </si>
  <si>
    <t>Angepasste Gehaltswerte für Schotte, CCM, Mais ganze Pflanze u. Wiesenfutter  aufgrund Futtermitteldatenbank ALP</t>
  </si>
  <si>
    <t>Im Durchschnitt gehaltene Mastkaninchen</t>
  </si>
  <si>
    <t>Moyenne des lapins mère</t>
  </si>
  <si>
    <t>Moyenne des lapins d'engraissement</t>
  </si>
  <si>
    <t xml:space="preserve">terminée le </t>
  </si>
  <si>
    <t xml:space="preserve">fertigestellt am </t>
  </si>
  <si>
    <t>Masttruten</t>
  </si>
  <si>
    <t>Im Durchschnitt gehaltene Masttruten</t>
  </si>
  <si>
    <t>Dindes à l'engrais</t>
  </si>
  <si>
    <t>Moyenne des dindes à l'engrais</t>
  </si>
  <si>
    <t>GT Dez.08</t>
  </si>
  <si>
    <t xml:space="preserve">Zusammenzug massgebende Stück zur Deklaration </t>
  </si>
  <si>
    <t>und Berechnung der GVE für die Direktzahlungen</t>
  </si>
  <si>
    <t>Anzahl belegte Ställe</t>
  </si>
  <si>
    <t>Zu deklarieren</t>
  </si>
  <si>
    <t>Jahr</t>
  </si>
  <si>
    <t>Anzahl Tiere</t>
  </si>
  <si>
    <t>GVE</t>
  </si>
  <si>
    <t>Stall 1</t>
  </si>
  <si>
    <t>Durchschnittsbestand</t>
  </si>
  <si>
    <t>Stall 2</t>
  </si>
  <si>
    <t>Stall 3</t>
  </si>
  <si>
    <t>BLW/mey, 22.03.05</t>
  </si>
  <si>
    <t>Anzahl ge-</t>
  </si>
  <si>
    <t>Massgebende</t>
  </si>
  <si>
    <t>Tier-</t>
  </si>
  <si>
    <t>schlachtete</t>
  </si>
  <si>
    <t>Bestand</t>
  </si>
  <si>
    <t>Masttage</t>
  </si>
  <si>
    <t>Faktor</t>
  </si>
  <si>
    <t>Tiere x Faktor</t>
  </si>
  <si>
    <t>je Umtrieb</t>
  </si>
  <si>
    <t>Umtrieb 1</t>
  </si>
  <si>
    <t>Einstallung</t>
  </si>
  <si>
    <t>1. Schlachtung</t>
  </si>
  <si>
    <t>2. Schlachtung</t>
  </si>
  <si>
    <t>3. Schlachtung</t>
  </si>
  <si>
    <t>5. Schlachtung</t>
  </si>
  <si>
    <t>Abgänge</t>
  </si>
  <si>
    <t>belegt</t>
  </si>
  <si>
    <t>Tage Stall belegt</t>
  </si>
  <si>
    <t>Tage Stall leer</t>
  </si>
  <si>
    <t>Umtrieb 2</t>
  </si>
  <si>
    <t>Umtrieb 3</t>
  </si>
  <si>
    <t>Umtrieb 4</t>
  </si>
  <si>
    <t>Umtrieb 5</t>
  </si>
  <si>
    <t>Seite 2</t>
  </si>
  <si>
    <t>Umtrieb 6</t>
  </si>
  <si>
    <t>Umtrieb 7</t>
  </si>
  <si>
    <t>Umtrieb 8</t>
  </si>
  <si>
    <t>Umtrieb 9</t>
  </si>
  <si>
    <t>Umtrieb 10</t>
  </si>
  <si>
    <t>Umtrieb 11</t>
  </si>
  <si>
    <t>Seite 3</t>
  </si>
  <si>
    <t>Umtrieb 12</t>
  </si>
  <si>
    <t>Durchschnittlicher Bestand in massgebenden Stück</t>
  </si>
  <si>
    <t>Berechnung der Anzahl Umtriebe</t>
  </si>
  <si>
    <t>Anzahl Umtriebe</t>
  </si>
  <si>
    <t>Belegungsdauer</t>
  </si>
  <si>
    <t>(Durchschnitt, ohne Leerzeit zwischen</t>
  </si>
  <si>
    <t xml:space="preserve"> je Umtrieb</t>
  </si>
  <si>
    <t>den Umtrieben)</t>
  </si>
  <si>
    <t>B(eff)</t>
  </si>
  <si>
    <t>(Total Tage, ohne Leerzeit zwischen</t>
  </si>
  <si>
    <t>total</t>
  </si>
  <si>
    <t>Minimale jährliche</t>
  </si>
  <si>
    <t>B(min)</t>
  </si>
  <si>
    <t>(minimale Belegungsdauer für</t>
  </si>
  <si>
    <t>für normale Stallnutzung)</t>
  </si>
  <si>
    <t>entspricht Bestand in GVE</t>
  </si>
  <si>
    <t>Bezeichnung</t>
  </si>
  <si>
    <t>Mastdauer</t>
  </si>
  <si>
    <t>untere Grenze</t>
  </si>
  <si>
    <t>obere Grenze</t>
  </si>
  <si>
    <t>Normalmast</t>
  </si>
  <si>
    <t>Ultrakurzmast</t>
  </si>
  <si>
    <t>GVE Faktor</t>
  </si>
  <si>
    <t>Umrechnungsfaktoren</t>
  </si>
  <si>
    <t>Angepasste Gehaltswerte für Wiesenfutter, angepasste Tiefstwerte für Tierkategorien, neue Tierkategorie Masttruten</t>
  </si>
  <si>
    <t>GT Nov. 09, GRUDAF 09</t>
  </si>
  <si>
    <t>Période:</t>
  </si>
  <si>
    <t>Periode:</t>
  </si>
  <si>
    <t>Dauer in Tagen:</t>
  </si>
  <si>
    <t>Durée en jours:</t>
  </si>
  <si>
    <t>Durchschnittlicher Bestand Stall 1</t>
  </si>
  <si>
    <t>Beitragsjahr:</t>
  </si>
  <si>
    <t>Vorname, Name:</t>
  </si>
  <si>
    <t>Betriebsnummer:</t>
  </si>
  <si>
    <t>Periode</t>
  </si>
  <si>
    <t>365 Tage</t>
  </si>
  <si>
    <t>(Periode)</t>
  </si>
  <si>
    <t>(365 Tage)</t>
  </si>
  <si>
    <t>Période</t>
  </si>
  <si>
    <t>365 jours</t>
  </si>
  <si>
    <t>(Période)</t>
  </si>
  <si>
    <t>(365 jours)</t>
  </si>
  <si>
    <t>Poulailler 1</t>
  </si>
  <si>
    <t>Poulailler 2</t>
  </si>
  <si>
    <t>Poulailler 3</t>
  </si>
  <si>
    <t>Zu- und Verkäufe nach A1a und A2a übertragen</t>
  </si>
  <si>
    <t>Zu- und Verkäufe nach A1b und A2b übertragen</t>
  </si>
  <si>
    <t>Zu- und Verkäufe nach A1c und A2c übertragen</t>
  </si>
  <si>
    <t>Nombre d'animaux</t>
  </si>
  <si>
    <t xml:space="preserve">Jours </t>
  </si>
  <si>
    <t>d'engrais-</t>
  </si>
  <si>
    <t>sement</t>
  </si>
  <si>
    <t>Coefficient</t>
  </si>
  <si>
    <t>Nbre d'ani-</t>
  </si>
  <si>
    <t>maux abattus</t>
  </si>
  <si>
    <t>x coefficient</t>
  </si>
  <si>
    <t>Nombre déter-</t>
  </si>
  <si>
    <t>minant d'animaux</t>
  </si>
  <si>
    <t>par rotation</t>
  </si>
  <si>
    <t>Rotation 1</t>
  </si>
  <si>
    <t>Rotation 2</t>
  </si>
  <si>
    <t>Rotation 3</t>
  </si>
  <si>
    <t>Rotation 4</t>
  </si>
  <si>
    <t>Rotation 5</t>
  </si>
  <si>
    <t>Rotation 6</t>
  </si>
  <si>
    <t>Rotation 7</t>
  </si>
  <si>
    <t>Rotation 8</t>
  </si>
  <si>
    <t>Rotation 9</t>
  </si>
  <si>
    <t>Rotation 10</t>
  </si>
  <si>
    <t>Rotation 11</t>
  </si>
  <si>
    <t>Rotation 12</t>
  </si>
  <si>
    <t>Mise en poulailler</t>
  </si>
  <si>
    <t>1er abattage</t>
  </si>
  <si>
    <t>2e abattage</t>
  </si>
  <si>
    <t>3e abattage</t>
  </si>
  <si>
    <t>4e abattage</t>
  </si>
  <si>
    <t>5e abattage</t>
  </si>
  <si>
    <t>jours poulailler occupé</t>
  </si>
  <si>
    <t>jours poulailler inoccupé</t>
  </si>
  <si>
    <t>Effectif moyen en nombre déterminant</t>
  </si>
  <si>
    <t>Nombre de rotations</t>
  </si>
  <si>
    <t>Durée d'occupation</t>
  </si>
  <si>
    <t>totale</t>
  </si>
  <si>
    <t>minimale par an</t>
  </si>
  <si>
    <t xml:space="preserve">(moyenne, sans interruption entre </t>
  </si>
  <si>
    <t>les rotations)</t>
  </si>
  <si>
    <t>(nombre total de jours, sans interruption entre</t>
  </si>
  <si>
    <t>(durée d'occupation minimale pour</t>
  </si>
  <si>
    <t>une utilisation normale du poulailler</t>
  </si>
  <si>
    <t>Effectif moyen au poulailler 1</t>
  </si>
  <si>
    <t>Effectif moyen au poulailler 2</t>
  </si>
  <si>
    <t>Effectif moyen au poulailler 3</t>
  </si>
  <si>
    <t>Durchschnittlicher Bestand Stall 2</t>
  </si>
  <si>
    <t>Durchschnittlicher Bestand Stall 3</t>
  </si>
  <si>
    <t>correspond à l'effectif exprimé en UGB</t>
  </si>
  <si>
    <t>Seite 1</t>
  </si>
  <si>
    <t>page 2</t>
  </si>
  <si>
    <t>page 1</t>
  </si>
  <si>
    <t>page 3</t>
  </si>
  <si>
    <t>Année de contributions</t>
  </si>
  <si>
    <t>No cantonal de l'exploitation</t>
  </si>
  <si>
    <t>Prénom, nom</t>
  </si>
  <si>
    <t>Adresse</t>
  </si>
  <si>
    <t>NPA, lieu</t>
  </si>
  <si>
    <t>Nombre total d'animaux déterminant pour la déclaration</t>
  </si>
  <si>
    <t>Calcul des UGB pour les paiements directs</t>
  </si>
  <si>
    <t>Nombre de poulaillers occupés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</si>
</sst>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_ * #,##0_ ;_ * \-#,##0_ ;_ * &quot;-&quot;??_ ;_ @_ "/>
    <numFmt numFmtId="166" formatCode="#,##0.0"/>
  </numFmts>
  <fonts count="63">
    <font>
      <sz val="10"/>
      <name val="Arial"/>
    </font>
    <font>
      <sz val="10"/>
      <name val="Arial"/>
    </font>
    <font>
      <sz val="12"/>
      <name val="Arial"/>
      <family val="2"/>
    </font>
    <font>
      <sz val="14"/>
      <name val="Arial"/>
      <family val="2"/>
    </font>
    <font>
      <b/>
      <sz val="11"/>
      <name val="Arial"/>
      <family val="2"/>
    </font>
    <font>
      <sz val="11"/>
      <name val="Arial"/>
      <family val="2"/>
    </font>
    <font>
      <sz val="16"/>
      <name val="Arial"/>
      <family val="2"/>
    </font>
    <font>
      <b/>
      <sz val="10"/>
      <name val="Arial"/>
      <family val="2"/>
    </font>
    <font>
      <b/>
      <sz val="13"/>
      <name val="Arial"/>
      <family val="2"/>
    </font>
    <font>
      <sz val="10"/>
      <name val="Arial"/>
      <family val="2"/>
    </font>
    <font>
      <b/>
      <u/>
      <sz val="10"/>
      <name val="Arial"/>
      <family val="2"/>
    </font>
    <font>
      <sz val="8"/>
      <name val="Arial"/>
      <family val="2"/>
    </font>
    <font>
      <vertAlign val="subscript"/>
      <sz val="10"/>
      <name val="Arial"/>
      <family val="2"/>
    </font>
    <font>
      <sz val="9"/>
      <name val="Arial"/>
      <family val="2"/>
    </font>
    <font>
      <b/>
      <sz val="14"/>
      <name val="Arial"/>
      <family val="2"/>
    </font>
    <font>
      <vertAlign val="subscript"/>
      <sz val="8"/>
      <name val="Arial"/>
      <family val="2"/>
    </font>
    <font>
      <vertAlign val="subscript"/>
      <sz val="9"/>
      <name val="Arial"/>
      <family val="2"/>
    </font>
    <font>
      <b/>
      <sz val="11"/>
      <name val="Arial"/>
      <family val="2"/>
    </font>
    <font>
      <b/>
      <sz val="9"/>
      <name val="Arial"/>
      <family val="2"/>
    </font>
    <font>
      <b/>
      <u/>
      <sz val="8"/>
      <name val="Arial"/>
      <family val="2"/>
    </font>
    <font>
      <b/>
      <sz val="8"/>
      <name val="Arial"/>
      <family val="2"/>
    </font>
    <font>
      <b/>
      <u/>
      <sz val="12"/>
      <name val="Arial"/>
      <family val="2"/>
    </font>
    <font>
      <u/>
      <sz val="10"/>
      <color indexed="12"/>
      <name val="Arial"/>
      <family val="2"/>
    </font>
    <font>
      <u/>
      <sz val="10"/>
      <color indexed="36"/>
      <name val="Arial"/>
      <family val="2"/>
    </font>
    <font>
      <sz val="11"/>
      <color indexed="8"/>
      <name val="Arial"/>
      <family val="2"/>
    </font>
    <font>
      <sz val="14"/>
      <name val="Arial"/>
      <family val="2"/>
    </font>
    <font>
      <sz val="9"/>
      <name val="Helvetica"/>
    </font>
    <font>
      <sz val="14"/>
      <name val="Helvetica"/>
    </font>
    <font>
      <sz val="8"/>
      <name val="Arial"/>
      <family val="2"/>
    </font>
    <font>
      <sz val="8"/>
      <name val="Tahoma"/>
      <family val="2"/>
    </font>
    <font>
      <b/>
      <sz val="12"/>
      <name val="Arial"/>
      <family val="2"/>
    </font>
    <font>
      <sz val="6"/>
      <name val="Arial"/>
      <family val="2"/>
    </font>
    <font>
      <u/>
      <sz val="10"/>
      <name val="Arial"/>
      <family val="2"/>
    </font>
    <font>
      <sz val="10"/>
      <color indexed="9"/>
      <name val="Arial"/>
      <family val="2"/>
    </font>
    <font>
      <sz val="12"/>
      <name val="Arial"/>
      <family val="2"/>
    </font>
    <font>
      <sz val="11"/>
      <name val="Arial"/>
      <family val="2"/>
    </font>
    <font>
      <sz val="10"/>
      <color indexed="22"/>
      <name val="Arial"/>
      <family val="2"/>
    </font>
    <font>
      <sz val="10"/>
      <color indexed="8"/>
      <name val="Arial"/>
      <family val="2"/>
    </font>
    <font>
      <sz val="11"/>
      <color indexed="8"/>
      <name val="Calibri"/>
      <family val="2"/>
    </font>
    <font>
      <sz val="11"/>
      <color indexed="9"/>
      <name val="Calibri"/>
      <family val="2"/>
    </font>
    <font>
      <b/>
      <sz val="11"/>
      <color indexed="8"/>
      <name val="Calibri"/>
      <family val="2"/>
    </font>
    <font>
      <b/>
      <sz val="11"/>
      <color indexed="10"/>
      <name val="Calibri"/>
      <family val="2"/>
    </font>
    <font>
      <sz val="11"/>
      <color indexed="62"/>
      <name val="Calibri"/>
      <family val="2"/>
    </font>
    <font>
      <i/>
      <sz val="11"/>
      <color indexed="22"/>
      <name val="Calibri"/>
      <family val="2"/>
    </font>
    <font>
      <sz val="11"/>
      <color indexed="58"/>
      <name val="Calibri"/>
      <family val="2"/>
    </font>
    <font>
      <sz val="11"/>
      <color indexed="19"/>
      <name val="Calibri"/>
      <family val="2"/>
    </font>
    <font>
      <sz val="11"/>
      <color indexed="20"/>
      <name val="Calibri"/>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sz val="11"/>
      <color indexed="10"/>
      <name val="Calibri"/>
      <family val="2"/>
    </font>
    <font>
      <b/>
      <sz val="11"/>
      <color indexed="9"/>
      <name val="Calibri"/>
      <family val="2"/>
    </font>
    <font>
      <sz val="24"/>
      <name val="SwitzerlandBlack"/>
      <family val="2"/>
    </font>
    <font>
      <sz val="11"/>
      <name val="Helvetica"/>
    </font>
    <font>
      <b/>
      <i/>
      <sz val="12"/>
      <name val="Arial"/>
      <family val="2"/>
    </font>
    <font>
      <i/>
      <sz val="12"/>
      <name val="Arial"/>
      <family val="2"/>
    </font>
    <font>
      <u/>
      <sz val="11"/>
      <name val="Arial"/>
      <family val="2"/>
    </font>
    <font>
      <sz val="9"/>
      <color indexed="8"/>
      <name val="Frutiger LT Std 45 Light"/>
    </font>
    <font>
      <sz val="8"/>
      <name val="Arial"/>
    </font>
    <font>
      <b/>
      <sz val="11"/>
      <color rgb="FF3366FF"/>
      <name val="Arial"/>
      <family val="2"/>
    </font>
    <font>
      <sz val="8"/>
      <color rgb="FF000000"/>
      <name val="Tahoma"/>
      <family val="2"/>
    </font>
    <font>
      <sz val="10"/>
      <color rgb="FF000000"/>
      <name val="Arial"/>
      <family val="2"/>
    </font>
  </fonts>
  <fills count="21">
    <fill>
      <patternFill patternType="none"/>
    </fill>
    <fill>
      <patternFill patternType="gray125"/>
    </fill>
    <fill>
      <patternFill patternType="solid">
        <fgColor indexed="27"/>
      </patternFill>
    </fill>
    <fill>
      <patternFill patternType="solid">
        <fgColor indexed="26"/>
      </patternFill>
    </fill>
    <fill>
      <patternFill patternType="solid">
        <fgColor indexed="47"/>
      </patternFill>
    </fill>
    <fill>
      <patternFill patternType="solid">
        <fgColor indexed="44"/>
      </patternFill>
    </fill>
    <fill>
      <patternFill patternType="solid">
        <fgColor indexed="23"/>
      </patternFill>
    </fill>
    <fill>
      <patternFill patternType="solid">
        <fgColor indexed="63"/>
      </patternFill>
    </fill>
    <fill>
      <patternFill patternType="solid">
        <fgColor indexed="29"/>
      </patternFill>
    </fill>
    <fill>
      <patternFill patternType="solid">
        <fgColor indexed="43"/>
      </patternFill>
    </fill>
    <fill>
      <patternFill patternType="solid">
        <fgColor indexed="22"/>
      </patternFill>
    </fill>
    <fill>
      <patternFill patternType="solid">
        <fgColor indexed="49"/>
      </patternFill>
    </fill>
    <fill>
      <patternFill patternType="solid">
        <fgColor indexed="55"/>
      </patternFill>
    </fill>
    <fill>
      <patternFill patternType="solid">
        <fgColor indexed="52"/>
      </patternFill>
    </fill>
    <fill>
      <patternFill patternType="solid">
        <fgColor indexed="51"/>
      </patternFill>
    </fill>
    <fill>
      <patternFill patternType="solid">
        <fgColor indexed="54"/>
      </patternFill>
    </fill>
    <fill>
      <patternFill patternType="solid">
        <fgColor indexed="10"/>
      </patternFill>
    </fill>
    <fill>
      <patternFill patternType="solid">
        <fgColor indexed="9"/>
      </patternFill>
    </fill>
    <fill>
      <patternFill patternType="solid">
        <fgColor indexed="46"/>
      </patternFill>
    </fill>
    <fill>
      <patternFill patternType="solid">
        <fgColor indexed="9"/>
        <bgColor indexed="64"/>
      </patternFill>
    </fill>
    <fill>
      <patternFill patternType="solid">
        <fgColor indexed="26"/>
        <bgColor indexed="64"/>
      </patternFill>
    </fill>
  </fills>
  <borders count="100">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thick">
        <color indexed="49"/>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8"/>
      </left>
      <right style="double">
        <color indexed="8"/>
      </right>
      <top style="double">
        <color indexed="8"/>
      </top>
      <bottom style="double">
        <color indexed="8"/>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hair">
        <color indexed="64"/>
      </top>
      <bottom/>
      <diagonal/>
    </border>
    <border>
      <left/>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s>
  <cellStyleXfs count="53">
    <xf numFmtId="0" fontId="0"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2"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9" fillId="2" borderId="0" applyNumberFormat="0" applyBorder="0" applyAlignment="0" applyProtection="0"/>
    <xf numFmtId="0" fontId="39" fillId="6"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2"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1" borderId="0" applyNumberFormat="0" applyBorder="0" applyAlignment="0" applyProtection="0"/>
    <xf numFmtId="0" fontId="39" fillId="16" borderId="0" applyNumberFormat="0" applyBorder="0" applyAlignment="0" applyProtection="0"/>
    <xf numFmtId="0" fontId="40" fillId="17" borderId="1" applyNumberFormat="0" applyAlignment="0" applyProtection="0"/>
    <xf numFmtId="0" fontId="41" fillId="17" borderId="2" applyNumberFormat="0" applyAlignment="0" applyProtection="0"/>
    <xf numFmtId="0" fontId="27" fillId="0" borderId="0"/>
    <xf numFmtId="0" fontId="26" fillId="0" borderId="0">
      <protection locked="0"/>
    </xf>
    <xf numFmtId="0" fontId="42" fillId="8" borderId="2" applyNumberFormat="0" applyAlignment="0" applyProtection="0"/>
    <xf numFmtId="0" fontId="40" fillId="0" borderId="3" applyNumberFormat="0" applyFill="0" applyAlignment="0" applyProtection="0"/>
    <xf numFmtId="0" fontId="43" fillId="0" borderId="0" applyNumberFormat="0" applyFill="0" applyBorder="0" applyAlignment="0" applyProtection="0"/>
    <xf numFmtId="0" fontId="44" fillId="2" borderId="0" applyNumberFormat="0" applyBorder="0" applyAlignment="0" applyProtection="0"/>
    <xf numFmtId="43" fontId="1" fillId="0" borderId="0" applyFon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41"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5" fillId="9" borderId="0" applyNumberFormat="0" applyBorder="0" applyAlignment="0" applyProtection="0"/>
    <xf numFmtId="0" fontId="28" fillId="0" borderId="0"/>
    <xf numFmtId="0" fontId="1" fillId="3" borderId="2" applyNumberFormat="0" applyFont="0" applyAlignment="0" applyProtection="0"/>
    <xf numFmtId="0" fontId="46" fillId="18" borderId="0" applyNumberFormat="0" applyBorder="0" applyAlignment="0" applyProtection="0"/>
    <xf numFmtId="0" fontId="54" fillId="0" borderId="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10" borderId="8" applyNumberFormat="0" applyAlignment="0" applyProtection="0"/>
  </cellStyleXfs>
  <cellXfs count="707">
    <xf numFmtId="0" fontId="0" fillId="0" borderId="0" xfId="0"/>
    <xf numFmtId="0" fontId="0" fillId="0" borderId="0" xfId="0" applyProtection="1"/>
    <xf numFmtId="0" fontId="19" fillId="0" borderId="0" xfId="0" applyFont="1" applyProtection="1"/>
    <xf numFmtId="0" fontId="11" fillId="0" borderId="0" xfId="0" applyFont="1" applyProtection="1"/>
    <xf numFmtId="0" fontId="20" fillId="0" borderId="0" xfId="0" applyFont="1" applyProtection="1"/>
    <xf numFmtId="0" fontId="15" fillId="0" borderId="0" xfId="0" applyFont="1" applyProtection="1"/>
    <xf numFmtId="0" fontId="9" fillId="0" borderId="0" xfId="0" applyFont="1" applyProtection="1"/>
    <xf numFmtId="0" fontId="3" fillId="0" borderId="0" xfId="0" applyFont="1" applyProtection="1"/>
    <xf numFmtId="0" fontId="5" fillId="0" borderId="0" xfId="0" applyFont="1" applyProtection="1"/>
    <xf numFmtId="0" fontId="13" fillId="0" borderId="0" xfId="0" applyFont="1" applyProtection="1"/>
    <xf numFmtId="0" fontId="7" fillId="0" borderId="0" xfId="0" applyFont="1" applyProtection="1"/>
    <xf numFmtId="0" fontId="0" fillId="19" borderId="0" xfId="0" applyFill="1" applyProtection="1"/>
    <xf numFmtId="0" fontId="9" fillId="19" borderId="0" xfId="0" applyFont="1" applyFill="1" applyProtection="1"/>
    <xf numFmtId="0" fontId="13" fillId="19" borderId="0" xfId="0" applyFont="1" applyFill="1" applyProtection="1"/>
    <xf numFmtId="0" fontId="11" fillId="19" borderId="0" xfId="0" applyFont="1" applyFill="1" applyProtection="1"/>
    <xf numFmtId="0" fontId="7" fillId="19" borderId="0" xfId="0" applyFont="1" applyFill="1" applyProtection="1"/>
    <xf numFmtId="0" fontId="16" fillId="19" borderId="0" xfId="0" applyFont="1" applyFill="1" applyProtection="1"/>
    <xf numFmtId="0" fontId="18" fillId="19" borderId="0" xfId="0" applyFont="1" applyFill="1" applyProtection="1"/>
    <xf numFmtId="0" fontId="7" fillId="19" borderId="0" xfId="0" applyFont="1" applyFill="1" applyBorder="1" applyProtection="1"/>
    <xf numFmtId="0" fontId="9" fillId="19" borderId="0" xfId="0" applyFont="1" applyFill="1" applyBorder="1" applyProtection="1"/>
    <xf numFmtId="0" fontId="8" fillId="19" borderId="0" xfId="0" applyFont="1" applyFill="1" applyBorder="1" applyProtection="1"/>
    <xf numFmtId="1" fontId="11" fillId="0" borderId="0" xfId="0" applyNumberFormat="1" applyFont="1" applyProtection="1"/>
    <xf numFmtId="1" fontId="9" fillId="19" borderId="0" xfId="0" applyNumberFormat="1" applyFont="1" applyFill="1" applyBorder="1" applyAlignment="1" applyProtection="1">
      <alignment horizontal="center"/>
    </xf>
    <xf numFmtId="0" fontId="5" fillId="0" borderId="9" xfId="0" applyFont="1" applyBorder="1" applyAlignment="1" applyProtection="1">
      <alignment horizontal="left"/>
    </xf>
    <xf numFmtId="0" fontId="5" fillId="0" borderId="9" xfId="0" applyFont="1" applyBorder="1" applyProtection="1"/>
    <xf numFmtId="0" fontId="5" fillId="0" borderId="10" xfId="0" applyFont="1" applyBorder="1" applyProtection="1"/>
    <xf numFmtId="0" fontId="5" fillId="0" borderId="11" xfId="0" applyFont="1" applyBorder="1" applyProtection="1"/>
    <xf numFmtId="0" fontId="5" fillId="0" borderId="12" xfId="0" applyFont="1" applyBorder="1" applyProtection="1"/>
    <xf numFmtId="0" fontId="5" fillId="0" borderId="13" xfId="0" applyFont="1" applyBorder="1" applyProtection="1"/>
    <xf numFmtId="0" fontId="5" fillId="0" borderId="14" xfId="0" applyFont="1" applyBorder="1" applyProtection="1"/>
    <xf numFmtId="0" fontId="5" fillId="0" borderId="15" xfId="0" applyFont="1" applyBorder="1" applyProtection="1"/>
    <xf numFmtId="0" fontId="5" fillId="0" borderId="16" xfId="0" applyFont="1" applyBorder="1" applyProtection="1"/>
    <xf numFmtId="0" fontId="5" fillId="19" borderId="0" xfId="0" applyFont="1" applyFill="1" applyAlignment="1" applyProtection="1">
      <alignment horizontal="left"/>
    </xf>
    <xf numFmtId="0" fontId="5" fillId="0" borderId="12" xfId="0" applyFont="1" applyBorder="1" applyAlignment="1" applyProtection="1">
      <alignment horizontal="center"/>
    </xf>
    <xf numFmtId="0" fontId="5" fillId="0" borderId="16" xfId="0" applyFont="1" applyBorder="1" applyAlignment="1" applyProtection="1">
      <alignment horizontal="center"/>
    </xf>
    <xf numFmtId="0" fontId="5" fillId="0" borderId="17" xfId="0" applyFont="1" applyBorder="1" applyProtection="1"/>
    <xf numFmtId="0" fontId="5" fillId="0" borderId="18" xfId="0" applyFont="1" applyBorder="1" applyAlignment="1" applyProtection="1">
      <alignment horizontal="left"/>
    </xf>
    <xf numFmtId="0" fontId="5" fillId="0" borderId="18" xfId="0" applyFont="1" applyBorder="1" applyProtection="1"/>
    <xf numFmtId="0" fontId="5" fillId="0" borderId="19" xfId="0" applyFont="1" applyBorder="1" applyProtection="1"/>
    <xf numFmtId="0" fontId="5" fillId="0" borderId="20" xfId="0" applyFont="1" applyBorder="1" applyProtection="1"/>
    <xf numFmtId="0" fontId="0" fillId="0" borderId="0" xfId="0" applyFill="1" applyProtection="1"/>
    <xf numFmtId="0" fontId="21" fillId="0" borderId="0" xfId="0" applyFont="1" applyProtection="1"/>
    <xf numFmtId="0" fontId="2" fillId="0" borderId="0" xfId="0" applyFont="1" applyProtection="1"/>
    <xf numFmtId="0" fontId="2" fillId="0" borderId="0" xfId="0" applyFont="1" applyFill="1" applyProtection="1"/>
    <xf numFmtId="0" fontId="5" fillId="0" borderId="21" xfId="0" applyFont="1" applyBorder="1" applyProtection="1"/>
    <xf numFmtId="0" fontId="9" fillId="0" borderId="0" xfId="0" applyFont="1" applyFill="1" applyBorder="1" applyProtection="1"/>
    <xf numFmtId="0" fontId="4" fillId="0" borderId="20" xfId="0" applyFont="1" applyBorder="1" applyProtection="1"/>
    <xf numFmtId="0" fontId="5" fillId="0" borderId="22" xfId="0" applyFont="1" applyBorder="1" applyProtection="1"/>
    <xf numFmtId="0" fontId="5" fillId="0" borderId="23" xfId="0" applyFont="1" applyBorder="1" applyAlignment="1" applyProtection="1">
      <alignment horizontal="center"/>
    </xf>
    <xf numFmtId="0" fontId="5" fillId="0" borderId="24" xfId="0" applyFont="1" applyBorder="1" applyAlignment="1" applyProtection="1">
      <alignment horizontal="center"/>
    </xf>
    <xf numFmtId="0" fontId="5" fillId="0" borderId="25" xfId="0" applyFont="1" applyBorder="1" applyAlignment="1" applyProtection="1">
      <alignment horizontal="center"/>
    </xf>
    <xf numFmtId="0" fontId="5" fillId="0" borderId="26" xfId="0" applyFont="1" applyBorder="1" applyAlignment="1" applyProtection="1">
      <alignment horizontal="center"/>
    </xf>
    <xf numFmtId="0" fontId="9" fillId="0" borderId="0" xfId="0" applyFont="1" applyFill="1" applyProtection="1"/>
    <xf numFmtId="1" fontId="9" fillId="0" borderId="0" xfId="0" applyNumberFormat="1" applyFont="1" applyFill="1" applyProtection="1"/>
    <xf numFmtId="0" fontId="9" fillId="0" borderId="27" xfId="0" applyFont="1" applyFill="1" applyBorder="1" applyProtection="1"/>
    <xf numFmtId="0" fontId="4" fillId="0" borderId="21" xfId="0" applyFont="1" applyBorder="1" applyProtection="1"/>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9" fillId="0" borderId="0" xfId="0" applyFont="1" applyBorder="1" applyProtection="1"/>
    <xf numFmtId="0" fontId="4" fillId="0" borderId="22" xfId="0" applyFont="1" applyBorder="1" applyProtection="1"/>
    <xf numFmtId="0" fontId="5" fillId="0" borderId="29" xfId="0" applyFont="1" applyBorder="1" applyAlignment="1" applyProtection="1">
      <alignment horizontal="center"/>
    </xf>
    <xf numFmtId="0" fontId="5" fillId="0" borderId="24" xfId="0" applyFont="1" applyFill="1" applyBorder="1" applyAlignment="1" applyProtection="1">
      <alignment horizontal="center"/>
    </xf>
    <xf numFmtId="0" fontId="5" fillId="19" borderId="11" xfId="0" applyFont="1" applyFill="1" applyBorder="1" applyAlignment="1" applyProtection="1">
      <alignment horizontal="left"/>
    </xf>
    <xf numFmtId="0" fontId="5" fillId="19" borderId="30" xfId="0" applyFont="1" applyFill="1" applyBorder="1" applyAlignment="1" applyProtection="1">
      <alignment horizontal="left"/>
    </xf>
    <xf numFmtId="0" fontId="6" fillId="0" borderId="0" xfId="0" applyFont="1" applyFill="1" applyBorder="1" applyProtection="1"/>
    <xf numFmtId="0" fontId="6" fillId="0" borderId="0" xfId="0" applyFont="1" applyProtection="1"/>
    <xf numFmtId="0" fontId="5" fillId="19" borderId="0" xfId="0" applyFont="1" applyFill="1" applyProtection="1"/>
    <xf numFmtId="0" fontId="24" fillId="19" borderId="0" xfId="0" applyFont="1" applyFill="1" applyAlignment="1" applyProtection="1">
      <alignment horizontal="left"/>
    </xf>
    <xf numFmtId="0" fontId="9" fillId="19" borderId="21" xfId="0" applyFont="1" applyFill="1" applyBorder="1" applyAlignment="1" applyProtection="1">
      <alignment horizontal="center"/>
    </xf>
    <xf numFmtId="0" fontId="9" fillId="19" borderId="31" xfId="0" applyFont="1" applyFill="1" applyBorder="1" applyAlignment="1" applyProtection="1">
      <alignment horizontal="center"/>
    </xf>
    <xf numFmtId="164" fontId="9" fillId="19" borderId="31" xfId="0" applyNumberFormat="1" applyFont="1" applyFill="1" applyBorder="1" applyAlignment="1" applyProtection="1">
      <alignment horizontal="center"/>
    </xf>
    <xf numFmtId="0" fontId="9" fillId="19" borderId="28" xfId="0" applyFont="1" applyFill="1" applyBorder="1" applyProtection="1"/>
    <xf numFmtId="164" fontId="9" fillId="19" borderId="22" xfId="0" applyNumberFormat="1" applyFont="1" applyFill="1" applyBorder="1" applyAlignment="1" applyProtection="1">
      <alignment horizontal="center"/>
    </xf>
    <xf numFmtId="164" fontId="9" fillId="19" borderId="24" xfId="0" applyNumberFormat="1" applyFont="1" applyFill="1" applyBorder="1" applyAlignment="1" applyProtection="1">
      <alignment horizontal="center"/>
    </xf>
    <xf numFmtId="0" fontId="9" fillId="19" borderId="24" xfId="0" applyFont="1" applyFill="1" applyBorder="1" applyProtection="1"/>
    <xf numFmtId="0" fontId="9" fillId="19" borderId="0" xfId="0" applyFont="1" applyFill="1" applyBorder="1" applyAlignment="1" applyProtection="1">
      <alignment horizontal="center"/>
    </xf>
    <xf numFmtId="0" fontId="9" fillId="19" borderId="14" xfId="0" applyFont="1" applyFill="1" applyBorder="1" applyAlignment="1" applyProtection="1">
      <alignment horizontal="center"/>
    </xf>
    <xf numFmtId="0" fontId="9" fillId="19" borderId="15" xfId="0" applyFont="1" applyFill="1" applyBorder="1" applyAlignment="1" applyProtection="1">
      <alignment horizontal="center"/>
    </xf>
    <xf numFmtId="0" fontId="9" fillId="19" borderId="16" xfId="0" applyFont="1" applyFill="1" applyBorder="1" applyAlignment="1" applyProtection="1">
      <alignment horizontal="center"/>
    </xf>
    <xf numFmtId="0" fontId="9" fillId="19" borderId="32" xfId="0" applyFont="1" applyFill="1" applyBorder="1" applyAlignment="1" applyProtection="1">
      <alignment horizontal="center"/>
    </xf>
    <xf numFmtId="0" fontId="9" fillId="19" borderId="14" xfId="0" applyFont="1" applyFill="1" applyBorder="1" applyProtection="1"/>
    <xf numFmtId="0" fontId="9" fillId="19" borderId="20" xfId="0" applyFont="1" applyFill="1" applyBorder="1" applyProtection="1"/>
    <xf numFmtId="0" fontId="9" fillId="19" borderId="33" xfId="0" applyFont="1" applyFill="1" applyBorder="1" applyAlignment="1" applyProtection="1">
      <alignment horizontal="left"/>
    </xf>
    <xf numFmtId="164" fontId="9" fillId="19" borderId="20" xfId="0" applyNumberFormat="1" applyFont="1" applyFill="1" applyBorder="1" applyAlignment="1" applyProtection="1">
      <alignment horizontal="center"/>
    </xf>
    <xf numFmtId="164" fontId="9" fillId="19" borderId="27" xfId="0" applyNumberFormat="1" applyFont="1" applyFill="1" applyBorder="1" applyAlignment="1" applyProtection="1">
      <alignment horizontal="center"/>
    </xf>
    <xf numFmtId="0" fontId="9" fillId="19" borderId="34" xfId="0" applyFont="1" applyFill="1" applyBorder="1" applyAlignment="1" applyProtection="1">
      <alignment horizontal="left"/>
    </xf>
    <xf numFmtId="2" fontId="9" fillId="19" borderId="0" xfId="0" applyNumberFormat="1" applyFont="1" applyFill="1" applyBorder="1" applyAlignment="1" applyProtection="1">
      <alignment horizontal="center"/>
    </xf>
    <xf numFmtId="0" fontId="9" fillId="19" borderId="35" xfId="0" applyFont="1" applyFill="1" applyBorder="1" applyAlignment="1" applyProtection="1">
      <alignment horizontal="left"/>
    </xf>
    <xf numFmtId="0" fontId="9" fillId="19" borderId="0" xfId="0" applyFont="1" applyFill="1" applyAlignment="1" applyProtection="1">
      <alignment horizontal="center"/>
    </xf>
    <xf numFmtId="0" fontId="9" fillId="19" borderId="21" xfId="0" applyFont="1" applyFill="1" applyBorder="1" applyAlignment="1" applyProtection="1">
      <alignment horizontal="left"/>
    </xf>
    <xf numFmtId="0" fontId="9" fillId="19" borderId="0" xfId="0" quotePrefix="1" applyFont="1" applyFill="1" applyProtection="1"/>
    <xf numFmtId="0" fontId="9" fillId="19" borderId="22" xfId="0" applyFont="1" applyFill="1" applyBorder="1" applyAlignment="1" applyProtection="1">
      <alignment horizontal="left"/>
    </xf>
    <xf numFmtId="0" fontId="7" fillId="19" borderId="36" xfId="0" quotePrefix="1" applyFont="1" applyFill="1" applyBorder="1" applyAlignment="1" applyProtection="1">
      <alignment horizontal="left"/>
    </xf>
    <xf numFmtId="0" fontId="9" fillId="19" borderId="37" xfId="0" applyFont="1" applyFill="1" applyBorder="1" applyProtection="1"/>
    <xf numFmtId="0" fontId="9" fillId="19" borderId="38" xfId="0" applyFont="1" applyFill="1" applyBorder="1" applyProtection="1"/>
    <xf numFmtId="0" fontId="9" fillId="19" borderId="20" xfId="0" applyFont="1" applyFill="1" applyBorder="1" applyAlignment="1" applyProtection="1">
      <alignment horizontal="center"/>
    </xf>
    <xf numFmtId="0" fontId="9" fillId="19" borderId="27" xfId="0" applyFont="1" applyFill="1" applyBorder="1" applyAlignment="1" applyProtection="1">
      <alignment horizontal="center"/>
    </xf>
    <xf numFmtId="0" fontId="9" fillId="19" borderId="21" xfId="0" applyFont="1" applyFill="1" applyBorder="1" applyProtection="1"/>
    <xf numFmtId="0" fontId="9" fillId="19" borderId="27" xfId="0" applyFont="1" applyFill="1" applyBorder="1" applyProtection="1"/>
    <xf numFmtId="0" fontId="9" fillId="19" borderId="22" xfId="0" applyFont="1" applyFill="1" applyBorder="1" applyProtection="1"/>
    <xf numFmtId="0" fontId="9" fillId="19" borderId="16" xfId="0" applyFont="1" applyFill="1" applyBorder="1" applyProtection="1"/>
    <xf numFmtId="0" fontId="7" fillId="19" borderId="14" xfId="0" applyFont="1" applyFill="1" applyBorder="1" applyProtection="1"/>
    <xf numFmtId="0" fontId="10" fillId="0" borderId="0" xfId="0" applyFont="1" applyProtection="1"/>
    <xf numFmtId="164" fontId="5" fillId="0" borderId="39" xfId="0" applyNumberFormat="1" applyFont="1" applyFill="1" applyBorder="1" applyAlignment="1" applyProtection="1">
      <alignment horizontal="center"/>
    </xf>
    <xf numFmtId="1" fontId="5" fillId="0" borderId="39" xfId="0" applyNumberFormat="1" applyFont="1" applyFill="1" applyBorder="1" applyAlignment="1" applyProtection="1">
      <alignment horizontal="center"/>
    </xf>
    <xf numFmtId="0" fontId="5" fillId="0" borderId="40" xfId="0" applyFont="1" applyBorder="1" applyAlignment="1" applyProtection="1">
      <alignment horizontal="center"/>
    </xf>
    <xf numFmtId="0" fontId="5" fillId="0" borderId="41" xfId="0" applyFont="1" applyBorder="1" applyAlignment="1" applyProtection="1">
      <alignment horizontal="center"/>
    </xf>
    <xf numFmtId="0" fontId="5" fillId="0" borderId="0" xfId="0" applyFont="1" applyBorder="1" applyProtection="1"/>
    <xf numFmtId="0" fontId="5" fillId="19" borderId="12" xfId="0" applyFont="1" applyFill="1" applyBorder="1" applyProtection="1"/>
    <xf numFmtId="0" fontId="5" fillId="19" borderId="13" xfId="0" applyFont="1" applyFill="1" applyBorder="1" applyProtection="1"/>
    <xf numFmtId="0" fontId="4" fillId="0" borderId="0" xfId="0" applyFont="1" applyAlignment="1" applyProtection="1">
      <alignment horizontal="right"/>
    </xf>
    <xf numFmtId="1" fontId="5" fillId="0" borderId="42" xfId="0" applyNumberFormat="1" applyFont="1" applyFill="1" applyBorder="1" applyAlignment="1" applyProtection="1">
      <alignment horizontal="center"/>
    </xf>
    <xf numFmtId="0" fontId="5" fillId="0" borderId="10" xfId="0" applyFont="1" applyFill="1" applyBorder="1" applyAlignment="1" applyProtection="1">
      <alignment horizontal="left"/>
    </xf>
    <xf numFmtId="1" fontId="5" fillId="0" borderId="40" xfId="0" applyNumberFormat="1" applyFont="1" applyBorder="1" applyAlignment="1" applyProtection="1">
      <alignment horizontal="center"/>
    </xf>
    <xf numFmtId="1" fontId="5" fillId="0" borderId="40" xfId="0" applyNumberFormat="1" applyFont="1" applyFill="1" applyBorder="1" applyAlignment="1" applyProtection="1">
      <alignment horizontal="center"/>
    </xf>
    <xf numFmtId="0" fontId="5" fillId="0" borderId="18" xfId="0" applyFont="1" applyFill="1" applyBorder="1" applyAlignment="1" applyProtection="1">
      <alignment horizontal="left"/>
    </xf>
    <xf numFmtId="164" fontId="5" fillId="0" borderId="42" xfId="0" applyNumberFormat="1" applyFont="1" applyFill="1" applyBorder="1" applyAlignment="1" applyProtection="1">
      <alignment horizontal="center"/>
    </xf>
    <xf numFmtId="0" fontId="5" fillId="0" borderId="23" xfId="0" applyFont="1" applyFill="1" applyBorder="1" applyAlignment="1" applyProtection="1">
      <alignment horizontal="left"/>
    </xf>
    <xf numFmtId="0" fontId="0" fillId="0" borderId="0" xfId="0" applyFill="1" applyAlignment="1" applyProtection="1">
      <alignment horizontal="center"/>
    </xf>
    <xf numFmtId="0" fontId="5" fillId="0" borderId="19" xfId="0" applyFont="1" applyBorder="1" applyAlignment="1" applyProtection="1">
      <alignment horizontal="center"/>
    </xf>
    <xf numFmtId="0" fontId="5" fillId="0" borderId="43" xfId="0" applyFont="1" applyBorder="1" applyAlignment="1" applyProtection="1">
      <alignment horizontal="center"/>
    </xf>
    <xf numFmtId="0" fontId="5" fillId="0" borderId="44" xfId="0" applyFont="1" applyBorder="1" applyAlignment="1" applyProtection="1">
      <alignment horizontal="center"/>
    </xf>
    <xf numFmtId="0" fontId="5" fillId="0" borderId="45" xfId="0" applyFont="1" applyBorder="1" applyAlignment="1" applyProtection="1">
      <alignment horizontal="center"/>
    </xf>
    <xf numFmtId="0" fontId="4" fillId="0" borderId="46" xfId="0" applyFont="1" applyBorder="1" applyAlignment="1" applyProtection="1">
      <alignment horizontal="center"/>
    </xf>
    <xf numFmtId="0" fontId="13" fillId="0" borderId="0" xfId="0" applyFont="1" applyBorder="1" applyProtection="1"/>
    <xf numFmtId="165" fontId="5" fillId="0" borderId="0" xfId="33" applyNumberFormat="1" applyFont="1" applyBorder="1" applyProtection="1"/>
    <xf numFmtId="1" fontId="0" fillId="0" borderId="0" xfId="0" applyNumberFormat="1" applyProtection="1"/>
    <xf numFmtId="0" fontId="12" fillId="0" borderId="0" xfId="0" applyFont="1" applyProtection="1"/>
    <xf numFmtId="0" fontId="5" fillId="0" borderId="39" xfId="0" applyFont="1" applyFill="1" applyBorder="1" applyAlignment="1" applyProtection="1">
      <alignment horizontal="center"/>
    </xf>
    <xf numFmtId="0" fontId="5" fillId="0" borderId="40" xfId="0" applyFont="1" applyFill="1" applyBorder="1" applyAlignment="1" applyProtection="1">
      <alignment horizontal="center"/>
    </xf>
    <xf numFmtId="3" fontId="9" fillId="19" borderId="20" xfId="33" applyNumberFormat="1" applyFont="1" applyFill="1" applyBorder="1" applyAlignment="1" applyProtection="1">
      <alignment horizontal="center"/>
    </xf>
    <xf numFmtId="3" fontId="9" fillId="19" borderId="0" xfId="33" applyNumberFormat="1" applyFont="1" applyFill="1" applyBorder="1" applyAlignment="1" applyProtection="1">
      <alignment horizontal="center"/>
    </xf>
    <xf numFmtId="3" fontId="9" fillId="19" borderId="27" xfId="33" applyNumberFormat="1" applyFont="1" applyFill="1" applyBorder="1" applyAlignment="1" applyProtection="1">
      <alignment horizontal="center"/>
    </xf>
    <xf numFmtId="3" fontId="9" fillId="19" borderId="34" xfId="33" applyNumberFormat="1" applyFont="1" applyFill="1" applyBorder="1" applyAlignment="1" applyProtection="1">
      <alignment horizontal="center"/>
    </xf>
    <xf numFmtId="3" fontId="9" fillId="19" borderId="22" xfId="33" applyNumberFormat="1" applyFont="1" applyFill="1" applyBorder="1" applyAlignment="1" applyProtection="1">
      <alignment horizontal="center"/>
    </xf>
    <xf numFmtId="3" fontId="9" fillId="19" borderId="29" xfId="33" applyNumberFormat="1" applyFont="1" applyFill="1" applyBorder="1" applyAlignment="1" applyProtection="1">
      <alignment horizontal="center"/>
    </xf>
    <xf numFmtId="3" fontId="9" fillId="19" borderId="24" xfId="33" applyNumberFormat="1" applyFont="1" applyFill="1" applyBorder="1" applyAlignment="1" applyProtection="1">
      <alignment horizontal="center"/>
    </xf>
    <xf numFmtId="3" fontId="9" fillId="19" borderId="35" xfId="33" applyNumberFormat="1" applyFont="1" applyFill="1" applyBorder="1" applyAlignment="1" applyProtection="1">
      <alignment horizontal="center"/>
    </xf>
    <xf numFmtId="3" fontId="9" fillId="19" borderId="33" xfId="33" applyNumberFormat="1" applyFont="1" applyFill="1" applyBorder="1" applyAlignment="1" applyProtection="1">
      <alignment horizontal="center"/>
    </xf>
    <xf numFmtId="3" fontId="9" fillId="19" borderId="47" xfId="33" applyNumberFormat="1" applyFont="1" applyFill="1" applyBorder="1" applyAlignment="1" applyProtection="1">
      <alignment horizontal="center"/>
    </xf>
    <xf numFmtId="3" fontId="9" fillId="19" borderId="48" xfId="33" applyNumberFormat="1" applyFont="1" applyFill="1" applyBorder="1" applyAlignment="1" applyProtection="1">
      <alignment horizontal="center"/>
    </xf>
    <xf numFmtId="3" fontId="9" fillId="19" borderId="36" xfId="33" applyNumberFormat="1" applyFont="1" applyFill="1" applyBorder="1" applyAlignment="1" applyProtection="1">
      <alignment horizontal="center"/>
    </xf>
    <xf numFmtId="3" fontId="9" fillId="19" borderId="49" xfId="33" applyNumberFormat="1" applyFont="1" applyFill="1" applyBorder="1" applyAlignment="1" applyProtection="1">
      <alignment horizontal="center"/>
    </xf>
    <xf numFmtId="3" fontId="9" fillId="19" borderId="21" xfId="33" applyNumberFormat="1" applyFont="1" applyFill="1" applyBorder="1" applyAlignment="1" applyProtection="1">
      <alignment horizontal="center"/>
    </xf>
    <xf numFmtId="3" fontId="9" fillId="19" borderId="28" xfId="33" applyNumberFormat="1" applyFont="1" applyFill="1" applyBorder="1" applyAlignment="1" applyProtection="1">
      <alignment horizontal="center"/>
    </xf>
    <xf numFmtId="3" fontId="9" fillId="19" borderId="38" xfId="33" applyNumberFormat="1" applyFont="1" applyFill="1" applyBorder="1" applyAlignment="1" applyProtection="1">
      <alignment horizontal="center"/>
    </xf>
    <xf numFmtId="3" fontId="9" fillId="19" borderId="0" xfId="33" applyNumberFormat="1" applyFont="1" applyFill="1" applyProtection="1"/>
    <xf numFmtId="3" fontId="9" fillId="19" borderId="0" xfId="0" applyNumberFormat="1" applyFont="1" applyFill="1" applyProtection="1"/>
    <xf numFmtId="164" fontId="1" fillId="0" borderId="32" xfId="0" applyNumberFormat="1" applyFont="1" applyBorder="1" applyAlignment="1">
      <alignment horizontal="center"/>
    </xf>
    <xf numFmtId="0" fontId="1" fillId="0" borderId="32" xfId="0" applyFont="1" applyBorder="1" applyAlignment="1">
      <alignment wrapText="1"/>
    </xf>
    <xf numFmtId="164" fontId="1" fillId="0" borderId="32" xfId="0" applyNumberFormat="1" applyFont="1" applyBorder="1" applyAlignment="1">
      <alignment horizontal="center" wrapText="1"/>
    </xf>
    <xf numFmtId="2" fontId="1" fillId="0" borderId="32" xfId="0" applyNumberFormat="1" applyFont="1" applyBorder="1" applyAlignment="1">
      <alignment horizontal="center"/>
    </xf>
    <xf numFmtId="3" fontId="0" fillId="0" borderId="32" xfId="0" applyNumberFormat="1" applyBorder="1" applyAlignment="1">
      <alignment horizontal="center"/>
    </xf>
    <xf numFmtId="0" fontId="7" fillId="0" borderId="15" xfId="0" applyFont="1" applyBorder="1"/>
    <xf numFmtId="0" fontId="7" fillId="0" borderId="16" xfId="0" applyFont="1" applyBorder="1"/>
    <xf numFmtId="0" fontId="5" fillId="19" borderId="30" xfId="0" applyFont="1" applyFill="1" applyBorder="1" applyAlignment="1" applyProtection="1"/>
    <xf numFmtId="1" fontId="5" fillId="19" borderId="14" xfId="0" applyNumberFormat="1" applyFont="1" applyFill="1" applyBorder="1" applyAlignment="1" applyProtection="1">
      <alignment horizontal="center"/>
    </xf>
    <xf numFmtId="164" fontId="5" fillId="19" borderId="15" xfId="0" applyNumberFormat="1" applyFont="1" applyFill="1" applyBorder="1" applyAlignment="1" applyProtection="1">
      <alignment horizontal="center"/>
    </xf>
    <xf numFmtId="1" fontId="5" fillId="19" borderId="15" xfId="0" applyNumberFormat="1" applyFont="1" applyFill="1" applyBorder="1" applyAlignment="1" applyProtection="1">
      <alignment horizontal="center"/>
    </xf>
    <xf numFmtId="164" fontId="5" fillId="19" borderId="16" xfId="0" applyNumberFormat="1" applyFont="1" applyFill="1" applyBorder="1" applyAlignment="1" applyProtection="1">
      <alignment horizontal="center"/>
    </xf>
    <xf numFmtId="0" fontId="4" fillId="19" borderId="20" xfId="0" applyFont="1" applyFill="1" applyBorder="1" applyAlignment="1" applyProtection="1"/>
    <xf numFmtId="0" fontId="13" fillId="0" borderId="0" xfId="0" applyFont="1" applyBorder="1" applyAlignment="1" applyProtection="1">
      <alignment horizontal="left"/>
    </xf>
    <xf numFmtId="0" fontId="9" fillId="0" borderId="0" xfId="0" applyFont="1" applyBorder="1" applyAlignment="1" applyProtection="1">
      <alignment horizontal="left"/>
    </xf>
    <xf numFmtId="0" fontId="11" fillId="0" borderId="0" xfId="0" applyFont="1" applyBorder="1" applyAlignment="1" applyProtection="1">
      <alignment horizontal="left"/>
    </xf>
    <xf numFmtId="0" fontId="6" fillId="0" borderId="0" xfId="0" applyFont="1" applyBorder="1" applyAlignment="1" applyProtection="1">
      <alignment horizontal="left"/>
    </xf>
    <xf numFmtId="0" fontId="11" fillId="0" borderId="0" xfId="0" applyFont="1" applyBorder="1" applyProtection="1"/>
    <xf numFmtId="0" fontId="6" fillId="0" borderId="0" xfId="0" applyFont="1" applyBorder="1" applyProtection="1"/>
    <xf numFmtId="0" fontId="13" fillId="19" borderId="31" xfId="0" applyFont="1" applyFill="1" applyBorder="1" applyAlignment="1" applyProtection="1">
      <alignment horizontal="center"/>
    </xf>
    <xf numFmtId="0" fontId="13" fillId="19" borderId="33" xfId="0" applyFont="1" applyFill="1" applyBorder="1" applyAlignment="1" applyProtection="1">
      <alignment horizontal="center"/>
    </xf>
    <xf numFmtId="0" fontId="13" fillId="19" borderId="14" xfId="0" applyFont="1" applyFill="1" applyBorder="1" applyAlignment="1" applyProtection="1">
      <alignment horizontal="center"/>
    </xf>
    <xf numFmtId="0" fontId="13" fillId="19" borderId="15" xfId="0" applyFont="1" applyFill="1" applyBorder="1" applyAlignment="1" applyProtection="1">
      <alignment horizontal="center"/>
    </xf>
    <xf numFmtId="0" fontId="13" fillId="19" borderId="16" xfId="0" applyFont="1" applyFill="1" applyBorder="1" applyAlignment="1" applyProtection="1">
      <alignment horizontal="center"/>
    </xf>
    <xf numFmtId="0" fontId="13" fillId="19" borderId="14" xfId="0" applyFont="1" applyFill="1" applyBorder="1" applyProtection="1"/>
    <xf numFmtId="0" fontId="13" fillId="19" borderId="32" xfId="0" applyFont="1" applyFill="1" applyBorder="1" applyProtection="1"/>
    <xf numFmtId="0" fontId="13" fillId="19" borderId="21" xfId="0" applyFont="1" applyFill="1" applyBorder="1" applyAlignment="1" applyProtection="1">
      <alignment horizontal="center"/>
    </xf>
    <xf numFmtId="0" fontId="13" fillId="19" borderId="28" xfId="0" applyFont="1" applyFill="1" applyBorder="1" applyAlignment="1" applyProtection="1">
      <alignment horizontal="center"/>
    </xf>
    <xf numFmtId="0" fontId="4" fillId="0" borderId="11" xfId="0" applyFont="1" applyBorder="1" applyAlignment="1" applyProtection="1">
      <alignment horizontal="center"/>
    </xf>
    <xf numFmtId="0" fontId="4" fillId="0" borderId="50" xfId="0" applyFont="1" applyBorder="1" applyAlignment="1" applyProtection="1">
      <alignment horizontal="center"/>
    </xf>
    <xf numFmtId="0" fontId="4" fillId="0" borderId="46" xfId="0" applyFont="1" applyBorder="1" applyAlignment="1" applyProtection="1">
      <alignment horizontal="centerContinuous"/>
    </xf>
    <xf numFmtId="0" fontId="5" fillId="0" borderId="22" xfId="0" applyFont="1" applyFill="1" applyBorder="1" applyAlignment="1" applyProtection="1">
      <alignment horizontal="centerContinuous"/>
    </xf>
    <xf numFmtId="0" fontId="5" fillId="0" borderId="31" xfId="0" applyFont="1" applyBorder="1" applyAlignment="1" applyProtection="1">
      <alignment horizontal="centerContinuous"/>
    </xf>
    <xf numFmtId="0" fontId="5" fillId="0" borderId="28" xfId="0" applyFont="1" applyBorder="1" applyAlignment="1" applyProtection="1">
      <alignment horizontal="centerContinuous"/>
    </xf>
    <xf numFmtId="0" fontId="4" fillId="0" borderId="11" xfId="0" applyFont="1" applyBorder="1" applyAlignment="1" applyProtection="1">
      <alignment horizontal="centerContinuous"/>
    </xf>
    <xf numFmtId="0" fontId="4" fillId="0" borderId="50" xfId="0" applyFont="1" applyBorder="1" applyAlignment="1" applyProtection="1">
      <alignment horizontal="centerContinuous"/>
    </xf>
    <xf numFmtId="0" fontId="5" fillId="20" borderId="10" xfId="0" applyFont="1" applyFill="1" applyBorder="1" applyAlignment="1" applyProtection="1">
      <alignment horizontal="left"/>
      <protection locked="0"/>
    </xf>
    <xf numFmtId="0" fontId="0" fillId="0" borderId="0" xfId="0" applyAlignment="1" applyProtection="1">
      <alignment vertical="center"/>
    </xf>
    <xf numFmtId="0" fontId="5" fillId="0" borderId="0" xfId="0" applyFont="1" applyAlignment="1" applyProtection="1">
      <alignment horizontal="left" vertical="center"/>
    </xf>
    <xf numFmtId="0" fontId="3" fillId="0" borderId="0" xfId="0" applyFont="1" applyAlignment="1" applyProtection="1">
      <alignment horizontal="right" vertical="center"/>
    </xf>
    <xf numFmtId="0" fontId="5" fillId="19" borderId="0" xfId="0" applyFont="1" applyFill="1" applyAlignment="1" applyProtection="1">
      <alignment vertical="center"/>
    </xf>
    <xf numFmtId="0" fontId="3" fillId="19" borderId="0" xfId="0" applyFont="1" applyFill="1" applyAlignment="1" applyProtection="1">
      <alignment horizontal="right" vertical="center"/>
    </xf>
    <xf numFmtId="0" fontId="7" fillId="0" borderId="0" xfId="0" applyFont="1" applyAlignment="1" applyProtection="1">
      <alignment horizontal="right"/>
    </xf>
    <xf numFmtId="0" fontId="9" fillId="0" borderId="0" xfId="0" applyFont="1" applyFill="1" applyBorder="1" applyAlignment="1" applyProtection="1">
      <alignment horizontal="center"/>
    </xf>
    <xf numFmtId="0" fontId="5" fillId="0" borderId="21" xfId="0" applyFont="1" applyBorder="1" applyAlignment="1" applyProtection="1">
      <alignment horizontal="centerContinuous"/>
    </xf>
    <xf numFmtId="0" fontId="5" fillId="0" borderId="24" xfId="0" applyFont="1" applyFill="1" applyBorder="1" applyAlignment="1" applyProtection="1">
      <alignment horizontal="centerContinuous"/>
    </xf>
    <xf numFmtId="0" fontId="5" fillId="0" borderId="24" xfId="0" applyFont="1" applyBorder="1" applyAlignment="1" applyProtection="1">
      <alignment horizontal="centerContinuous"/>
    </xf>
    <xf numFmtId="0" fontId="4" fillId="0" borderId="46" xfId="0" applyFont="1" applyFill="1" applyBorder="1" applyAlignment="1" applyProtection="1">
      <alignment horizontal="centerContinuous"/>
    </xf>
    <xf numFmtId="0" fontId="5" fillId="0" borderId="10" xfId="0" applyFont="1" applyFill="1" applyBorder="1" applyAlignment="1" applyProtection="1">
      <alignment horizontal="centerContinuous"/>
    </xf>
    <xf numFmtId="0" fontId="5" fillId="0" borderId="42" xfId="0" applyFont="1" applyFill="1" applyBorder="1" applyAlignment="1" applyProtection="1">
      <alignment horizontal="centerContinuous"/>
    </xf>
    <xf numFmtId="0" fontId="3" fillId="20" borderId="51" xfId="0" applyFont="1" applyFill="1" applyBorder="1" applyAlignment="1" applyProtection="1">
      <alignment horizontal="centerContinuous"/>
    </xf>
    <xf numFmtId="0" fontId="17" fillId="0" borderId="16" xfId="0" applyFont="1" applyFill="1" applyBorder="1" applyAlignment="1" applyProtection="1">
      <alignment horizontal="centerContinuous"/>
    </xf>
    <xf numFmtId="0" fontId="5" fillId="0" borderId="10" xfId="0" applyFont="1" applyBorder="1" applyAlignment="1" applyProtection="1">
      <alignment horizontal="centerContinuous"/>
    </xf>
    <xf numFmtId="0" fontId="5" fillId="0" borderId="42" xfId="0" applyFont="1" applyBorder="1" applyAlignment="1" applyProtection="1">
      <alignment horizontal="centerContinuous"/>
    </xf>
    <xf numFmtId="0" fontId="17" fillId="0" borderId="21" xfId="0" applyFont="1" applyBorder="1" applyAlignment="1" applyProtection="1">
      <alignment horizontal="centerContinuous"/>
    </xf>
    <xf numFmtId="0" fontId="17" fillId="0" borderId="28" xfId="0" applyFont="1" applyBorder="1" applyAlignment="1" applyProtection="1">
      <alignment horizontal="centerContinuous"/>
    </xf>
    <xf numFmtId="0" fontId="17" fillId="0" borderId="14" xfId="0" applyFont="1" applyBorder="1" applyAlignment="1" applyProtection="1">
      <alignment horizontal="centerContinuous"/>
    </xf>
    <xf numFmtId="0" fontId="17" fillId="0" borderId="16" xfId="0" applyFont="1" applyBorder="1" applyAlignment="1" applyProtection="1">
      <alignment horizontal="centerContinuous"/>
    </xf>
    <xf numFmtId="0" fontId="9" fillId="19" borderId="14" xfId="0" applyFont="1" applyFill="1" applyBorder="1" applyAlignment="1" applyProtection="1">
      <alignment horizontal="centerContinuous"/>
    </xf>
    <xf numFmtId="0" fontId="9" fillId="19" borderId="15" xfId="0" applyFont="1" applyFill="1" applyBorder="1" applyAlignment="1" applyProtection="1">
      <alignment horizontal="centerContinuous"/>
    </xf>
    <xf numFmtId="0" fontId="9" fillId="19" borderId="16" xfId="0" applyFont="1" applyFill="1" applyBorder="1" applyAlignment="1" applyProtection="1">
      <alignment horizontal="centerContinuous"/>
    </xf>
    <xf numFmtId="1" fontId="9" fillId="19" borderId="14" xfId="0" applyNumberFormat="1" applyFont="1" applyFill="1" applyBorder="1" applyAlignment="1" applyProtection="1">
      <alignment horizontal="centerContinuous"/>
    </xf>
    <xf numFmtId="1" fontId="9" fillId="19" borderId="15" xfId="0" applyNumberFormat="1" applyFont="1" applyFill="1" applyBorder="1" applyAlignment="1" applyProtection="1">
      <alignment horizontal="centerContinuous"/>
    </xf>
    <xf numFmtId="1" fontId="9" fillId="19" borderId="16" xfId="0" applyNumberFormat="1" applyFont="1" applyFill="1" applyBorder="1" applyAlignment="1" applyProtection="1">
      <alignment horizontal="centerContinuous"/>
    </xf>
    <xf numFmtId="0" fontId="9" fillId="19" borderId="21" xfId="0" applyFont="1" applyFill="1" applyBorder="1" applyAlignment="1" applyProtection="1">
      <alignment horizontal="centerContinuous"/>
    </xf>
    <xf numFmtId="0" fontId="9" fillId="19" borderId="28" xfId="0" applyFont="1" applyFill="1" applyBorder="1" applyAlignment="1" applyProtection="1">
      <alignment horizontal="centerContinuous"/>
    </xf>
    <xf numFmtId="164" fontId="9" fillId="19" borderId="14" xfId="0" applyNumberFormat="1" applyFont="1" applyFill="1" applyBorder="1" applyAlignment="1" applyProtection="1">
      <alignment horizontal="centerContinuous"/>
    </xf>
    <xf numFmtId="164" fontId="9" fillId="19" borderId="15" xfId="0" applyNumberFormat="1" applyFont="1" applyFill="1" applyBorder="1" applyAlignment="1" applyProtection="1">
      <alignment horizontal="centerContinuous"/>
    </xf>
    <xf numFmtId="164" fontId="9" fillId="19" borderId="16" xfId="0" applyNumberFormat="1" applyFont="1" applyFill="1" applyBorder="1" applyAlignment="1" applyProtection="1">
      <alignment horizontal="centerContinuous"/>
    </xf>
    <xf numFmtId="0" fontId="10" fillId="0" borderId="0" xfId="0" applyFont="1" applyAlignment="1" applyProtection="1">
      <alignment horizontal="right"/>
    </xf>
    <xf numFmtId="0" fontId="7" fillId="19" borderId="0" xfId="0" applyFont="1" applyFill="1" applyAlignment="1" applyProtection="1">
      <alignment horizontal="right"/>
    </xf>
    <xf numFmtId="0" fontId="9" fillId="19" borderId="0" xfId="0" applyFont="1" applyFill="1" applyAlignment="1" applyProtection="1">
      <alignment horizontal="left"/>
    </xf>
    <xf numFmtId="0" fontId="9" fillId="19" borderId="0" xfId="0" applyFont="1" applyFill="1" applyAlignment="1" applyProtection="1">
      <alignment horizontal="centerContinuous"/>
    </xf>
    <xf numFmtId="14" fontId="9" fillId="19" borderId="0" xfId="0" applyNumberFormat="1" applyFont="1" applyFill="1" applyAlignment="1" applyProtection="1">
      <alignment horizontal="centerContinuous"/>
    </xf>
    <xf numFmtId="0" fontId="5" fillId="0" borderId="11" xfId="0" applyFont="1" applyBorder="1" applyAlignment="1" applyProtection="1">
      <alignment horizontal="centerContinuous"/>
    </xf>
    <xf numFmtId="0" fontId="5" fillId="0" borderId="46" xfId="0" applyFont="1" applyBorder="1" applyAlignment="1" applyProtection="1">
      <alignment horizontal="centerContinuous"/>
    </xf>
    <xf numFmtId="0" fontId="3" fillId="20" borderId="45" xfId="0" applyFont="1" applyFill="1" applyBorder="1" applyAlignment="1" applyProtection="1">
      <alignment horizontal="centerContinuous"/>
    </xf>
    <xf numFmtId="0" fontId="2" fillId="0" borderId="0" xfId="0" applyFont="1" applyAlignment="1" applyProtection="1">
      <alignment horizontal="right"/>
    </xf>
    <xf numFmtId="0" fontId="3" fillId="20" borderId="9" xfId="0" applyFont="1" applyFill="1" applyBorder="1" applyAlignment="1" applyProtection="1">
      <alignment horizontal="left"/>
      <protection locked="0"/>
    </xf>
    <xf numFmtId="0" fontId="3" fillId="20" borderId="30" xfId="0" applyFont="1" applyFill="1" applyBorder="1" applyAlignment="1" applyProtection="1">
      <alignment horizontal="left"/>
      <protection locked="0"/>
    </xf>
    <xf numFmtId="0" fontId="17" fillId="0" borderId="14" xfId="0" applyFont="1" applyFill="1" applyBorder="1" applyAlignment="1" applyProtection="1">
      <alignment horizontal="left"/>
    </xf>
    <xf numFmtId="14" fontId="9" fillId="19" borderId="0" xfId="0" applyNumberFormat="1" applyFont="1" applyFill="1" applyAlignment="1" applyProtection="1">
      <alignment horizontal="left"/>
    </xf>
    <xf numFmtId="0" fontId="9" fillId="19" borderId="0" xfId="0" applyFont="1" applyFill="1" applyBorder="1" applyAlignment="1" applyProtection="1">
      <alignment horizontal="left"/>
    </xf>
    <xf numFmtId="0" fontId="25" fillId="20" borderId="9" xfId="0" applyFont="1" applyFill="1" applyBorder="1" applyAlignment="1" applyProtection="1">
      <alignment horizontal="left"/>
      <protection locked="0"/>
    </xf>
    <xf numFmtId="0" fontId="4" fillId="0" borderId="11" xfId="0" applyFont="1" applyFill="1" applyBorder="1" applyAlignment="1" applyProtection="1">
      <alignment horizontal="left"/>
    </xf>
    <xf numFmtId="0" fontId="9" fillId="0" borderId="0" xfId="0" applyFont="1" applyFill="1" applyBorder="1" applyAlignment="1"/>
    <xf numFmtId="0" fontId="9" fillId="19" borderId="0" xfId="0" applyNumberFormat="1" applyFont="1" applyFill="1" applyProtection="1"/>
    <xf numFmtId="0" fontId="9" fillId="19" borderId="31" xfId="0" applyFont="1" applyFill="1" applyBorder="1" applyAlignment="1" applyProtection="1">
      <alignment horizontal="left"/>
    </xf>
    <xf numFmtId="0" fontId="9" fillId="19" borderId="29" xfId="0" applyFont="1" applyFill="1" applyBorder="1" applyAlignment="1" applyProtection="1">
      <alignment horizontal="left"/>
    </xf>
    <xf numFmtId="0" fontId="9" fillId="19" borderId="15" xfId="0" applyFont="1" applyFill="1" applyBorder="1" applyProtection="1"/>
    <xf numFmtId="0" fontId="12" fillId="19" borderId="15" xfId="0" applyFont="1" applyFill="1" applyBorder="1" applyProtection="1"/>
    <xf numFmtId="0" fontId="11" fillId="19" borderId="15" xfId="0" applyFont="1" applyFill="1" applyBorder="1" applyProtection="1"/>
    <xf numFmtId="0" fontId="16" fillId="19" borderId="15" xfId="0" applyFont="1" applyFill="1" applyBorder="1" applyProtection="1"/>
    <xf numFmtId="0" fontId="11" fillId="19" borderId="16" xfId="0" applyFont="1" applyFill="1" applyBorder="1" applyProtection="1"/>
    <xf numFmtId="0" fontId="9" fillId="19" borderId="22" xfId="0" applyFont="1" applyFill="1" applyBorder="1" applyAlignment="1" applyProtection="1">
      <alignment horizontal="center"/>
    </xf>
    <xf numFmtId="0" fontId="9" fillId="19" borderId="24" xfId="0" applyFont="1" applyFill="1" applyBorder="1" applyAlignment="1" applyProtection="1">
      <alignment horizontal="center"/>
    </xf>
    <xf numFmtId="0" fontId="7" fillId="0" borderId="14" xfId="0" applyFont="1" applyBorder="1" applyAlignment="1" applyProtection="1">
      <alignment horizontal="centerContinuous"/>
    </xf>
    <xf numFmtId="0" fontId="7" fillId="0" borderId="15" xfId="0" applyFont="1" applyFill="1" applyBorder="1" applyAlignment="1">
      <alignment horizontal="left" wrapText="1"/>
    </xf>
    <xf numFmtId="0" fontId="0" fillId="0" borderId="0" xfId="0" applyAlignment="1"/>
    <xf numFmtId="0" fontId="8" fillId="0" borderId="0" xfId="0" applyFont="1" applyAlignment="1">
      <alignment horizontal="right" vertical="center"/>
    </xf>
    <xf numFmtId="14" fontId="5" fillId="20" borderId="52" xfId="0" applyNumberFormat="1" applyFont="1" applyFill="1" applyBorder="1" applyAlignment="1" applyProtection="1">
      <alignment horizontal="left"/>
      <protection locked="0"/>
    </xf>
    <xf numFmtId="3" fontId="9" fillId="19" borderId="31" xfId="33" applyNumberFormat="1" applyFont="1" applyFill="1" applyBorder="1" applyAlignment="1" applyProtection="1">
      <alignment horizontal="center"/>
    </xf>
    <xf numFmtId="3" fontId="9" fillId="19" borderId="32" xfId="33" applyNumberFormat="1" applyFont="1" applyFill="1" applyBorder="1" applyAlignment="1" applyProtection="1">
      <alignment horizontal="center"/>
    </xf>
    <xf numFmtId="1" fontId="9" fillId="19" borderId="0" xfId="0" applyNumberFormat="1" applyFont="1" applyFill="1" applyAlignment="1" applyProtection="1">
      <alignment horizontal="center"/>
    </xf>
    <xf numFmtId="1" fontId="9" fillId="19" borderId="33" xfId="0" applyNumberFormat="1" applyFont="1" applyFill="1" applyBorder="1" applyAlignment="1" applyProtection="1">
      <alignment horizontal="center"/>
    </xf>
    <xf numFmtId="1" fontId="9" fillId="19" borderId="35" xfId="0" applyNumberFormat="1" applyFont="1" applyFill="1" applyBorder="1" applyAlignment="1" applyProtection="1">
      <alignment horizontal="center"/>
    </xf>
    <xf numFmtId="0" fontId="0" fillId="19" borderId="15" xfId="0" applyFill="1" applyBorder="1" applyProtection="1"/>
    <xf numFmtId="0" fontId="0" fillId="19" borderId="16" xfId="0" applyFill="1" applyBorder="1" applyProtection="1"/>
    <xf numFmtId="0" fontId="4" fillId="0" borderId="0" xfId="0" applyFont="1" applyFill="1" applyAlignment="1" applyProtection="1">
      <alignment horizontal="right"/>
    </xf>
    <xf numFmtId="164" fontId="5" fillId="0" borderId="41" xfId="0" applyNumberFormat="1" applyFont="1" applyBorder="1" applyAlignment="1" applyProtection="1">
      <alignment horizontal="center"/>
    </xf>
    <xf numFmtId="164" fontId="5" fillId="0" borderId="40" xfId="0" applyNumberFormat="1" applyFont="1" applyBorder="1" applyAlignment="1" applyProtection="1">
      <alignment horizontal="center"/>
    </xf>
    <xf numFmtId="0" fontId="0" fillId="0" borderId="0" xfId="0" applyAlignment="1" applyProtection="1">
      <alignment vertical="top"/>
    </xf>
    <xf numFmtId="0" fontId="9" fillId="19" borderId="0" xfId="0" applyFont="1" applyFill="1" applyAlignment="1" applyProtection="1">
      <alignment vertical="top"/>
    </xf>
    <xf numFmtId="0" fontId="5" fillId="19" borderId="53" xfId="0" applyFont="1" applyFill="1" applyBorder="1" applyAlignment="1" applyProtection="1"/>
    <xf numFmtId="164" fontId="9" fillId="19" borderId="0" xfId="0" applyNumberFormat="1" applyFont="1" applyFill="1" applyAlignment="1" applyProtection="1">
      <alignment horizontal="center"/>
    </xf>
    <xf numFmtId="3" fontId="5" fillId="0" borderId="40" xfId="33" applyNumberFormat="1" applyFont="1" applyFill="1" applyBorder="1" applyAlignment="1" applyProtection="1">
      <alignment horizontal="center"/>
    </xf>
    <xf numFmtId="3" fontId="5" fillId="20" borderId="39" xfId="33" applyNumberFormat="1" applyFont="1" applyFill="1" applyBorder="1" applyAlignment="1" applyProtection="1">
      <alignment horizontal="center"/>
      <protection locked="0"/>
    </xf>
    <xf numFmtId="3" fontId="5" fillId="20" borderId="18" xfId="33" applyNumberFormat="1" applyFont="1" applyFill="1" applyBorder="1" applyAlignment="1" applyProtection="1">
      <alignment horizontal="center"/>
      <protection locked="0"/>
    </xf>
    <xf numFmtId="3" fontId="5" fillId="20" borderId="40" xfId="33" applyNumberFormat="1" applyFont="1" applyFill="1" applyBorder="1" applyAlignment="1" applyProtection="1">
      <alignment horizontal="center"/>
      <protection locked="0"/>
    </xf>
    <xf numFmtId="3" fontId="5" fillId="20" borderId="54" xfId="33" applyNumberFormat="1" applyFont="1" applyFill="1" applyBorder="1" applyAlignment="1" applyProtection="1">
      <alignment horizontal="center"/>
      <protection locked="0"/>
    </xf>
    <xf numFmtId="3" fontId="5" fillId="20" borderId="41" xfId="33" applyNumberFormat="1" applyFont="1" applyFill="1" applyBorder="1" applyAlignment="1" applyProtection="1">
      <alignment horizontal="center"/>
      <protection locked="0"/>
    </xf>
    <xf numFmtId="14" fontId="5" fillId="20" borderId="18" xfId="0" applyNumberFormat="1" applyFont="1" applyFill="1" applyBorder="1" applyAlignment="1" applyProtection="1">
      <alignment horizontal="center"/>
      <protection locked="0"/>
    </xf>
    <xf numFmtId="3" fontId="5" fillId="0" borderId="55" xfId="33" applyNumberFormat="1" applyFont="1" applyBorder="1" applyAlignment="1" applyProtection="1">
      <alignment horizontal="center"/>
    </xf>
    <xf numFmtId="3" fontId="5" fillId="0" borderId="56" xfId="33" applyNumberFormat="1" applyFont="1" applyBorder="1" applyAlignment="1" applyProtection="1">
      <alignment horizontal="center"/>
    </xf>
    <xf numFmtId="3" fontId="5" fillId="20" borderId="57" xfId="33" applyNumberFormat="1" applyFont="1" applyFill="1" applyBorder="1" applyAlignment="1" applyProtection="1">
      <alignment horizontal="center"/>
      <protection locked="0"/>
    </xf>
    <xf numFmtId="3" fontId="5" fillId="0" borderId="58" xfId="33" applyNumberFormat="1" applyFont="1" applyBorder="1" applyAlignment="1" applyProtection="1">
      <alignment horizontal="center"/>
    </xf>
    <xf numFmtId="14" fontId="5" fillId="20" borderId="59" xfId="0" applyNumberFormat="1" applyFont="1" applyFill="1" applyBorder="1" applyAlignment="1" applyProtection="1">
      <alignment horizontal="center"/>
      <protection locked="0"/>
    </xf>
    <xf numFmtId="3" fontId="5" fillId="0" borderId="15" xfId="33" applyNumberFormat="1" applyFont="1" applyBorder="1" applyAlignment="1" applyProtection="1">
      <alignment horizontal="center"/>
    </xf>
    <xf numFmtId="3" fontId="5" fillId="0" borderId="16" xfId="33" applyNumberFormat="1" applyFont="1" applyBorder="1" applyAlignment="1" applyProtection="1">
      <alignment horizontal="center"/>
    </xf>
    <xf numFmtId="3" fontId="5" fillId="19" borderId="56" xfId="33" applyNumberFormat="1" applyFont="1" applyFill="1" applyBorder="1" applyAlignment="1" applyProtection="1">
      <alignment horizontal="center"/>
    </xf>
    <xf numFmtId="3" fontId="5" fillId="19" borderId="58" xfId="33" applyNumberFormat="1" applyFont="1" applyFill="1" applyBorder="1" applyAlignment="1" applyProtection="1">
      <alignment horizontal="center"/>
    </xf>
    <xf numFmtId="3" fontId="9" fillId="19" borderId="0" xfId="0" applyNumberFormat="1" applyFont="1" applyFill="1" applyBorder="1" applyAlignment="1" applyProtection="1">
      <alignment horizontal="center"/>
    </xf>
    <xf numFmtId="3" fontId="9" fillId="19" borderId="29" xfId="0" applyNumberFormat="1" applyFont="1" applyFill="1" applyBorder="1" applyAlignment="1" applyProtection="1">
      <alignment horizontal="center"/>
    </xf>
    <xf numFmtId="3" fontId="9" fillId="19" borderId="20" xfId="0" applyNumberFormat="1" applyFont="1" applyFill="1" applyBorder="1" applyProtection="1"/>
    <xf numFmtId="3" fontId="9" fillId="19" borderId="34" xfId="0" applyNumberFormat="1" applyFont="1" applyFill="1" applyBorder="1" applyProtection="1"/>
    <xf numFmtId="166" fontId="9" fillId="19" borderId="0" xfId="0" applyNumberFormat="1" applyFont="1" applyFill="1" applyProtection="1"/>
    <xf numFmtId="14" fontId="5" fillId="20" borderId="57" xfId="0" applyNumberFormat="1" applyFont="1" applyFill="1" applyBorder="1" applyAlignment="1" applyProtection="1">
      <alignment horizontal="center"/>
      <protection locked="0"/>
    </xf>
    <xf numFmtId="14" fontId="5" fillId="20" borderId="60" xfId="0" applyNumberFormat="1" applyFont="1" applyFill="1" applyBorder="1" applyAlignment="1" applyProtection="1">
      <alignment horizontal="center"/>
      <protection locked="0"/>
    </xf>
    <xf numFmtId="166" fontId="9" fillId="19" borderId="34" xfId="33" applyNumberFormat="1" applyFont="1" applyFill="1" applyBorder="1" applyAlignment="1" applyProtection="1">
      <alignment horizontal="center"/>
    </xf>
    <xf numFmtId="166" fontId="9" fillId="19" borderId="20" xfId="33" applyNumberFormat="1" applyFont="1" applyFill="1" applyBorder="1" applyAlignment="1" applyProtection="1">
      <alignment horizontal="center"/>
    </xf>
    <xf numFmtId="166" fontId="9" fillId="19" borderId="22" xfId="33" applyNumberFormat="1" applyFont="1" applyFill="1" applyBorder="1" applyAlignment="1" applyProtection="1">
      <alignment horizontal="center"/>
    </xf>
    <xf numFmtId="166" fontId="9" fillId="19" borderId="35" xfId="33" applyNumberFormat="1" applyFont="1" applyFill="1" applyBorder="1" applyAlignment="1" applyProtection="1">
      <alignment horizontal="center"/>
    </xf>
    <xf numFmtId="166" fontId="9" fillId="19" borderId="20" xfId="0" applyNumberFormat="1" applyFont="1" applyFill="1" applyBorder="1" applyAlignment="1" applyProtection="1">
      <alignment horizontal="center"/>
    </xf>
    <xf numFmtId="166" fontId="9" fillId="19" borderId="34" xfId="0" applyNumberFormat="1" applyFont="1" applyFill="1" applyBorder="1" applyAlignment="1" applyProtection="1">
      <alignment horizontal="center"/>
    </xf>
    <xf numFmtId="2" fontId="1" fillId="0" borderId="32" xfId="0" applyNumberFormat="1" applyFont="1" applyBorder="1" applyAlignment="1">
      <alignment horizontal="center" wrapText="1"/>
    </xf>
    <xf numFmtId="0" fontId="1" fillId="0" borderId="32" xfId="0" applyFont="1" applyBorder="1" applyAlignment="1">
      <alignment horizontal="center" wrapText="1"/>
    </xf>
    <xf numFmtId="3" fontId="9" fillId="0" borderId="32" xfId="0" applyNumberFormat="1" applyFont="1" applyBorder="1" applyAlignment="1">
      <alignment horizontal="center"/>
    </xf>
    <xf numFmtId="0" fontId="1" fillId="0" borderId="33" xfId="0" applyFont="1" applyBorder="1" applyAlignment="1">
      <alignment wrapText="1"/>
    </xf>
    <xf numFmtId="0" fontId="1" fillId="0" borderId="33" xfId="0" applyFont="1" applyBorder="1" applyAlignment="1">
      <alignment horizontal="center" wrapText="1"/>
    </xf>
    <xf numFmtId="3" fontId="0" fillId="0" borderId="33" xfId="0" applyNumberFormat="1" applyBorder="1" applyAlignment="1">
      <alignment horizontal="center"/>
    </xf>
    <xf numFmtId="0" fontId="9" fillId="0" borderId="61" xfId="0" applyFont="1" applyFill="1" applyBorder="1" applyAlignment="1">
      <alignment horizontal="left" wrapText="1"/>
    </xf>
    <xf numFmtId="0" fontId="7" fillId="0" borderId="62" xfId="0" applyFont="1" applyFill="1" applyBorder="1" applyAlignment="1">
      <alignment horizontal="left" wrapText="1"/>
    </xf>
    <xf numFmtId="0" fontId="7" fillId="0" borderId="62" xfId="0" applyFont="1" applyBorder="1"/>
    <xf numFmtId="0" fontId="7" fillId="0" borderId="63" xfId="0" applyFont="1" applyBorder="1"/>
    <xf numFmtId="3" fontId="9" fillId="0" borderId="64" xfId="0" applyNumberFormat="1" applyFont="1" applyBorder="1" applyAlignment="1">
      <alignment horizontal="center"/>
    </xf>
    <xf numFmtId="3" fontId="9" fillId="0" borderId="65" xfId="0" applyNumberFormat="1" applyFont="1" applyBorder="1" applyAlignment="1">
      <alignment horizontal="center"/>
    </xf>
    <xf numFmtId="0" fontId="9" fillId="0" borderId="66" xfId="0" applyFont="1" applyFill="1" applyBorder="1" applyAlignment="1">
      <alignment horizontal="left"/>
    </xf>
    <xf numFmtId="3" fontId="9" fillId="0" borderId="67" xfId="0" applyNumberFormat="1" applyFont="1" applyBorder="1" applyAlignment="1">
      <alignment horizontal="center"/>
    </xf>
    <xf numFmtId="0" fontId="7" fillId="0" borderId="68" xfId="0" applyFont="1" applyFill="1" applyBorder="1" applyAlignment="1">
      <alignment horizontal="left"/>
    </xf>
    <xf numFmtId="0" fontId="7" fillId="0" borderId="69" xfId="0" applyFont="1" applyFill="1" applyBorder="1" applyAlignment="1">
      <alignment horizontal="left" wrapText="1"/>
    </xf>
    <xf numFmtId="0" fontId="7" fillId="0" borderId="69" xfId="0" applyFont="1" applyBorder="1"/>
    <xf numFmtId="0" fontId="7" fillId="0" borderId="70" xfId="0" applyFont="1" applyBorder="1"/>
    <xf numFmtId="3" fontId="7" fillId="0" borderId="71" xfId="0" applyNumberFormat="1" applyFont="1" applyBorder="1" applyAlignment="1">
      <alignment horizontal="center"/>
    </xf>
    <xf numFmtId="3" fontId="7" fillId="0" borderId="72" xfId="0" applyNumberFormat="1" applyFont="1" applyBorder="1" applyAlignment="1">
      <alignment horizontal="center"/>
    </xf>
    <xf numFmtId="0" fontId="7" fillId="0" borderId="69" xfId="0" applyFont="1" applyFill="1" applyBorder="1" applyAlignment="1">
      <alignment horizontal="left"/>
    </xf>
    <xf numFmtId="0" fontId="0" fillId="0" borderId="0" xfId="0" applyFill="1"/>
    <xf numFmtId="0" fontId="0" fillId="0" borderId="33" xfId="0" applyFill="1" applyBorder="1"/>
    <xf numFmtId="0" fontId="0" fillId="0" borderId="21" xfId="0" applyFill="1" applyBorder="1"/>
    <xf numFmtId="0" fontId="0" fillId="0" borderId="31" xfId="0" applyFill="1" applyBorder="1"/>
    <xf numFmtId="0" fontId="0" fillId="0" borderId="28" xfId="0" applyFill="1" applyBorder="1"/>
    <xf numFmtId="0" fontId="0" fillId="0" borderId="34" xfId="0" applyFill="1" applyBorder="1" applyProtection="1">
      <protection locked="0"/>
    </xf>
    <xf numFmtId="0" fontId="0" fillId="0" borderId="20" xfId="0" applyFill="1" applyBorder="1" applyProtection="1">
      <protection locked="0"/>
    </xf>
    <xf numFmtId="0" fontId="0" fillId="0" borderId="0" xfId="0" applyFill="1" applyBorder="1"/>
    <xf numFmtId="0" fontId="0" fillId="0" borderId="27" xfId="0" applyFill="1" applyBorder="1"/>
    <xf numFmtId="0" fontId="0" fillId="0" borderId="34" xfId="0" applyFill="1" applyBorder="1" applyProtection="1"/>
    <xf numFmtId="0" fontId="9" fillId="0" borderId="20" xfId="0" applyFont="1" applyFill="1" applyBorder="1" applyProtection="1"/>
    <xf numFmtId="0" fontId="0" fillId="0" borderId="0" xfId="0" applyFill="1" applyBorder="1" applyProtection="1"/>
    <xf numFmtId="0" fontId="0" fillId="0" borderId="27" xfId="0" applyFill="1" applyBorder="1" applyProtection="1"/>
    <xf numFmtId="0" fontId="6" fillId="0" borderId="0" xfId="0" applyFont="1" applyFill="1" applyProtection="1"/>
    <xf numFmtId="0" fontId="9" fillId="0" borderId="0" xfId="0" applyFont="1" applyFill="1" applyBorder="1" applyAlignment="1" applyProtection="1">
      <alignment horizontal="left"/>
    </xf>
    <xf numFmtId="0" fontId="13" fillId="0" borderId="0" xfId="0" applyFont="1" applyFill="1" applyProtection="1"/>
    <xf numFmtId="0" fontId="13" fillId="0" borderId="0" xfId="0" applyFont="1" applyFill="1" applyBorder="1" applyAlignment="1" applyProtection="1">
      <alignment horizontal="left"/>
    </xf>
    <xf numFmtId="0" fontId="13" fillId="0" borderId="0" xfId="0" applyFont="1" applyFill="1" applyBorder="1" applyProtection="1"/>
    <xf numFmtId="0" fontId="5" fillId="0" borderId="0" xfId="0" applyFont="1" applyFill="1" applyProtection="1"/>
    <xf numFmtId="0" fontId="5" fillId="0" borderId="0" xfId="0" applyFont="1" applyFill="1" applyBorder="1" applyProtection="1"/>
    <xf numFmtId="0" fontId="9" fillId="0" borderId="0" xfId="0" quotePrefix="1" applyFont="1" applyFill="1" applyBorder="1" applyProtection="1"/>
    <xf numFmtId="4" fontId="9" fillId="19" borderId="0" xfId="0" applyNumberFormat="1" applyFont="1" applyFill="1" applyProtection="1"/>
    <xf numFmtId="0" fontId="7" fillId="0" borderId="14" xfId="0" applyFont="1" applyFill="1" applyBorder="1" applyAlignment="1">
      <alignment horizontal="centerContinuous"/>
    </xf>
    <xf numFmtId="0" fontId="7" fillId="0" borderId="15" xfId="0" applyFont="1" applyFill="1" applyBorder="1" applyAlignment="1">
      <alignment horizontal="centerContinuous"/>
    </xf>
    <xf numFmtId="0" fontId="7" fillId="0" borderId="16" xfId="0" applyFont="1" applyFill="1" applyBorder="1" applyAlignment="1">
      <alignment horizontal="centerContinuous"/>
    </xf>
    <xf numFmtId="0" fontId="1" fillId="19" borderId="0" xfId="0" applyFont="1" applyFill="1" applyAlignment="1" applyProtection="1">
      <alignment horizontal="left"/>
    </xf>
    <xf numFmtId="1" fontId="9" fillId="19" borderId="0" xfId="0" applyNumberFormat="1" applyFont="1" applyFill="1" applyProtection="1"/>
    <xf numFmtId="3" fontId="7" fillId="0" borderId="70" xfId="0" applyNumberFormat="1" applyFont="1" applyBorder="1" applyAlignment="1">
      <alignment horizontal="center"/>
    </xf>
    <xf numFmtId="14" fontId="0" fillId="0" borderId="0" xfId="0" applyNumberFormat="1"/>
    <xf numFmtId="0" fontId="0" fillId="0" borderId="0" xfId="0" applyAlignment="1">
      <alignment wrapText="1"/>
    </xf>
    <xf numFmtId="0" fontId="7" fillId="0" borderId="0" xfId="0" applyFont="1"/>
    <xf numFmtId="0" fontId="7" fillId="0" borderId="0" xfId="0" applyFont="1" applyAlignment="1">
      <alignment wrapText="1"/>
    </xf>
    <xf numFmtId="3" fontId="11" fillId="19" borderId="0" xfId="0" applyNumberFormat="1" applyFont="1" applyFill="1" applyProtection="1"/>
    <xf numFmtId="0" fontId="1" fillId="0" borderId="32" xfId="0" applyFont="1" applyBorder="1" applyAlignment="1">
      <alignment horizontal="left"/>
    </xf>
    <xf numFmtId="0" fontId="1" fillId="0" borderId="32" xfId="0" applyFont="1" applyBorder="1" applyAlignment="1"/>
    <xf numFmtId="0" fontId="1" fillId="0" borderId="33" xfId="0" applyFont="1" applyBorder="1" applyAlignment="1"/>
    <xf numFmtId="0" fontId="14" fillId="0" borderId="32" xfId="0" applyFont="1" applyBorder="1" applyAlignment="1" applyProtection="1">
      <alignment vertical="center"/>
    </xf>
    <xf numFmtId="0" fontId="9" fillId="0" borderId="73" xfId="0" applyFont="1" applyBorder="1" applyProtection="1"/>
    <xf numFmtId="1" fontId="9" fillId="0" borderId="73" xfId="0" applyNumberFormat="1" applyFont="1" applyBorder="1" applyProtection="1"/>
    <xf numFmtId="2" fontId="9" fillId="0" borderId="73" xfId="0" applyNumberFormat="1" applyFont="1" applyBorder="1" applyProtection="1"/>
    <xf numFmtId="1" fontId="9" fillId="0" borderId="35" xfId="0" applyNumberFormat="1" applyFont="1" applyBorder="1" applyProtection="1"/>
    <xf numFmtId="3" fontId="5" fillId="20" borderId="74" xfId="33" applyNumberFormat="1" applyFont="1" applyFill="1" applyBorder="1" applyAlignment="1" applyProtection="1">
      <alignment horizontal="center"/>
      <protection locked="0"/>
    </xf>
    <xf numFmtId="1" fontId="9" fillId="0" borderId="0" xfId="0" applyNumberFormat="1" applyFont="1" applyBorder="1" applyProtection="1"/>
    <xf numFmtId="0" fontId="9" fillId="0" borderId="34" xfId="0" applyFont="1" applyFill="1" applyBorder="1" applyProtection="1"/>
    <xf numFmtId="0" fontId="2" fillId="0" borderId="27" xfId="0" applyFont="1" applyFill="1" applyBorder="1" applyProtection="1"/>
    <xf numFmtId="0" fontId="0" fillId="0" borderId="29" xfId="0" applyFill="1" applyBorder="1"/>
    <xf numFmtId="0" fontId="0" fillId="0" borderId="35" xfId="0" applyFill="1" applyBorder="1"/>
    <xf numFmtId="0" fontId="0" fillId="0" borderId="24" xfId="0" applyFill="1" applyBorder="1"/>
    <xf numFmtId="3" fontId="9" fillId="19" borderId="33" xfId="0" applyNumberFormat="1" applyFont="1" applyFill="1" applyBorder="1" applyProtection="1"/>
    <xf numFmtId="3" fontId="9" fillId="19" borderId="35" xfId="0" applyNumberFormat="1" applyFont="1" applyFill="1" applyBorder="1" applyProtection="1"/>
    <xf numFmtId="0" fontId="0" fillId="0" borderId="33" xfId="0" applyBorder="1"/>
    <xf numFmtId="0" fontId="0" fillId="0" borderId="35" xfId="0" applyBorder="1"/>
    <xf numFmtId="0" fontId="0" fillId="0" borderId="34" xfId="0" applyFill="1" applyBorder="1"/>
    <xf numFmtId="0" fontId="9" fillId="0" borderId="22" xfId="0" applyFont="1" applyFill="1" applyBorder="1" applyProtection="1"/>
    <xf numFmtId="0" fontId="5" fillId="19" borderId="0" xfId="0" applyFont="1" applyFill="1" applyBorder="1" applyProtection="1"/>
    <xf numFmtId="0" fontId="5" fillId="19" borderId="0" xfId="0" applyFont="1" applyFill="1" applyBorder="1" applyAlignment="1" applyProtection="1">
      <alignment horizontal="center"/>
    </xf>
    <xf numFmtId="0" fontId="9" fillId="19" borderId="33" xfId="0" applyFont="1" applyFill="1" applyBorder="1" applyProtection="1"/>
    <xf numFmtId="0" fontId="9" fillId="19" borderId="31" xfId="0" applyFont="1" applyFill="1" applyBorder="1" applyProtection="1"/>
    <xf numFmtId="164" fontId="9" fillId="19" borderId="21" xfId="0" applyNumberFormat="1" applyFont="1" applyFill="1" applyBorder="1" applyAlignment="1" applyProtection="1">
      <alignment horizontal="center"/>
    </xf>
    <xf numFmtId="164" fontId="9" fillId="19" borderId="28" xfId="0" applyNumberFormat="1" applyFont="1" applyFill="1" applyBorder="1" applyAlignment="1" applyProtection="1">
      <alignment horizontal="center"/>
    </xf>
    <xf numFmtId="0" fontId="9" fillId="19" borderId="35" xfId="0" applyFont="1" applyFill="1" applyBorder="1" applyProtection="1"/>
    <xf numFmtId="0" fontId="9" fillId="19" borderId="29" xfId="0" applyFont="1" applyFill="1" applyBorder="1" applyProtection="1"/>
    <xf numFmtId="1" fontId="9" fillId="19" borderId="0" xfId="0" applyNumberFormat="1" applyFont="1" applyFill="1" applyBorder="1" applyProtection="1"/>
    <xf numFmtId="0" fontId="0" fillId="0" borderId="0" xfId="0" applyProtection="1">
      <protection locked="0"/>
    </xf>
    <xf numFmtId="164" fontId="0" fillId="0" borderId="33" xfId="0" applyNumberFormat="1" applyFill="1" applyBorder="1" applyAlignment="1" applyProtection="1">
      <alignment horizontal="center"/>
    </xf>
    <xf numFmtId="2" fontId="0" fillId="0" borderId="33" xfId="0" applyNumberFormat="1" applyFill="1" applyBorder="1" applyAlignment="1" applyProtection="1">
      <alignment horizontal="center"/>
    </xf>
    <xf numFmtId="164" fontId="0" fillId="0" borderId="0" xfId="0" applyNumberFormat="1"/>
    <xf numFmtId="164" fontId="5" fillId="20" borderId="46" xfId="0" applyNumberFormat="1" applyFont="1" applyFill="1" applyBorder="1" applyAlignment="1" applyProtection="1">
      <alignment horizontal="center"/>
      <protection locked="0"/>
    </xf>
    <xf numFmtId="164" fontId="5" fillId="20" borderId="52" xfId="0" applyNumberFormat="1" applyFont="1" applyFill="1" applyBorder="1" applyAlignment="1" applyProtection="1">
      <alignment horizontal="center"/>
      <protection locked="0"/>
    </xf>
    <xf numFmtId="1" fontId="5" fillId="20" borderId="17" xfId="0" applyNumberFormat="1" applyFont="1" applyFill="1" applyBorder="1" applyAlignment="1" applyProtection="1">
      <alignment horizontal="center"/>
      <protection locked="0"/>
    </xf>
    <xf numFmtId="1" fontId="5" fillId="20" borderId="18" xfId="0" applyNumberFormat="1" applyFont="1" applyFill="1" applyBorder="1" applyAlignment="1" applyProtection="1">
      <alignment horizontal="center"/>
      <protection locked="0"/>
    </xf>
    <xf numFmtId="1" fontId="5" fillId="20" borderId="19" xfId="0" applyNumberFormat="1" applyFont="1" applyFill="1" applyBorder="1" applyAlignment="1" applyProtection="1">
      <alignment horizontal="center"/>
      <protection locked="0"/>
    </xf>
    <xf numFmtId="1" fontId="5" fillId="20" borderId="75" xfId="0" applyNumberFormat="1" applyFont="1" applyFill="1" applyBorder="1" applyAlignment="1" applyProtection="1">
      <alignment horizontal="center"/>
      <protection locked="0"/>
    </xf>
    <xf numFmtId="1" fontId="5" fillId="20" borderId="57" xfId="0" applyNumberFormat="1" applyFont="1" applyFill="1" applyBorder="1" applyAlignment="1" applyProtection="1">
      <alignment horizontal="center"/>
      <protection locked="0"/>
    </xf>
    <xf numFmtId="164" fontId="5" fillId="20" borderId="76" xfId="0" applyNumberFormat="1" applyFont="1" applyFill="1" applyBorder="1" applyAlignment="1" applyProtection="1">
      <alignment horizontal="center"/>
      <protection locked="0"/>
    </xf>
    <xf numFmtId="164" fontId="5" fillId="20" borderId="77" xfId="0" applyNumberFormat="1" applyFont="1" applyFill="1" applyBorder="1" applyAlignment="1" applyProtection="1">
      <alignment horizontal="center"/>
      <protection locked="0"/>
    </xf>
    <xf numFmtId="3" fontId="5" fillId="20" borderId="60" xfId="33" applyNumberFormat="1" applyFont="1" applyFill="1" applyBorder="1" applyAlignment="1" applyProtection="1">
      <alignment horizontal="center"/>
      <protection locked="0"/>
    </xf>
    <xf numFmtId="3" fontId="5" fillId="20" borderId="43" xfId="33" applyNumberFormat="1" applyFont="1" applyFill="1" applyBorder="1" applyAlignment="1" applyProtection="1">
      <alignment horizontal="center"/>
      <protection locked="0"/>
    </xf>
    <xf numFmtId="1" fontId="5" fillId="20" borderId="76" xfId="0" applyNumberFormat="1" applyFont="1" applyFill="1" applyBorder="1" applyAlignment="1" applyProtection="1">
      <alignment horizontal="center"/>
      <protection locked="0"/>
    </xf>
    <xf numFmtId="1" fontId="5" fillId="20" borderId="77" xfId="0" applyNumberFormat="1" applyFont="1" applyFill="1" applyBorder="1" applyAlignment="1" applyProtection="1">
      <alignment horizontal="center"/>
      <protection locked="0"/>
    </xf>
    <xf numFmtId="164" fontId="5" fillId="20" borderId="59" xfId="0" applyNumberFormat="1" applyFont="1" applyFill="1" applyBorder="1" applyAlignment="1" applyProtection="1">
      <alignment horizontal="center"/>
      <protection locked="0"/>
    </xf>
    <xf numFmtId="164" fontId="5" fillId="19" borderId="78" xfId="0" applyNumberFormat="1" applyFont="1" applyFill="1" applyBorder="1" applyAlignment="1" applyProtection="1">
      <alignment horizontal="center"/>
    </xf>
    <xf numFmtId="1" fontId="5" fillId="19" borderId="78" xfId="0" applyNumberFormat="1" applyFont="1" applyFill="1" applyBorder="1" applyAlignment="1" applyProtection="1">
      <alignment horizontal="center"/>
    </xf>
    <xf numFmtId="164" fontId="5" fillId="19" borderId="44" xfId="0" applyNumberFormat="1" applyFont="1" applyFill="1" applyBorder="1" applyAlignment="1" applyProtection="1">
      <alignment horizontal="center"/>
    </xf>
    <xf numFmtId="1" fontId="5" fillId="19" borderId="44" xfId="0" applyNumberFormat="1" applyFont="1" applyFill="1" applyBorder="1" applyAlignment="1" applyProtection="1">
      <alignment horizontal="center"/>
    </xf>
    <xf numFmtId="3" fontId="5" fillId="20" borderId="75" xfId="33" applyNumberFormat="1" applyFont="1" applyFill="1" applyBorder="1" applyAlignment="1" applyProtection="1">
      <alignment horizontal="center"/>
      <protection locked="0"/>
    </xf>
    <xf numFmtId="1" fontId="5" fillId="19" borderId="17" xfId="0" applyNumberFormat="1" applyFont="1" applyFill="1" applyBorder="1" applyAlignment="1" applyProtection="1">
      <alignment horizontal="center"/>
    </xf>
    <xf numFmtId="164" fontId="5" fillId="19" borderId="76" xfId="0" applyNumberFormat="1" applyFont="1" applyFill="1" applyBorder="1" applyAlignment="1" applyProtection="1">
      <alignment horizontal="center"/>
    </xf>
    <xf numFmtId="1" fontId="5" fillId="19" borderId="76" xfId="0" applyNumberFormat="1" applyFont="1" applyFill="1" applyBorder="1" applyAlignment="1" applyProtection="1">
      <alignment horizontal="center"/>
    </xf>
    <xf numFmtId="1" fontId="5" fillId="19" borderId="19" xfId="0" applyNumberFormat="1" applyFont="1" applyFill="1" applyBorder="1" applyAlignment="1" applyProtection="1">
      <alignment horizontal="center"/>
    </xf>
    <xf numFmtId="164" fontId="5" fillId="20" borderId="39" xfId="0" applyNumberFormat="1" applyFont="1" applyFill="1" applyBorder="1" applyAlignment="1" applyProtection="1">
      <alignment horizontal="center"/>
      <protection locked="0"/>
    </xf>
    <xf numFmtId="164" fontId="5" fillId="20" borderId="40" xfId="0" applyNumberFormat="1" applyFont="1" applyFill="1" applyBorder="1" applyAlignment="1" applyProtection="1">
      <alignment horizontal="center"/>
      <protection locked="0"/>
    </xf>
    <xf numFmtId="164" fontId="5" fillId="19" borderId="54" xfId="0" applyNumberFormat="1" applyFont="1" applyFill="1" applyBorder="1" applyAlignment="1" applyProtection="1">
      <alignment horizontal="center"/>
    </xf>
    <xf numFmtId="164" fontId="5" fillId="19" borderId="41" xfId="0" applyNumberFormat="1" applyFont="1" applyFill="1" applyBorder="1" applyAlignment="1" applyProtection="1">
      <alignment horizontal="center"/>
    </xf>
    <xf numFmtId="164" fontId="5" fillId="19" borderId="39" xfId="0" applyNumberFormat="1" applyFont="1" applyFill="1" applyBorder="1" applyAlignment="1" applyProtection="1">
      <alignment horizontal="center"/>
    </xf>
    <xf numFmtId="0" fontId="5" fillId="0" borderId="29" xfId="0" applyFont="1" applyBorder="1" applyAlignment="1" applyProtection="1">
      <alignment horizontal="centerContinuous"/>
    </xf>
    <xf numFmtId="3" fontId="1" fillId="0" borderId="32" xfId="0" applyNumberFormat="1" applyFont="1" applyBorder="1" applyAlignment="1">
      <alignment horizontal="center"/>
    </xf>
    <xf numFmtId="3" fontId="1" fillId="0" borderId="32" xfId="0" applyNumberFormat="1" applyFont="1" applyBorder="1" applyAlignment="1">
      <alignment horizontal="center" wrapText="1"/>
    </xf>
    <xf numFmtId="3" fontId="9" fillId="0" borderId="63" xfId="0" applyNumberFormat="1" applyFont="1" applyBorder="1" applyAlignment="1">
      <alignment horizontal="center"/>
    </xf>
    <xf numFmtId="3" fontId="9" fillId="0" borderId="16" xfId="0" applyNumberFormat="1" applyFont="1" applyBorder="1" applyAlignment="1">
      <alignment horizontal="center"/>
    </xf>
    <xf numFmtId="3" fontId="9" fillId="20" borderId="32" xfId="0" applyNumberFormat="1" applyFont="1" applyFill="1" applyBorder="1" applyAlignment="1" applyProtection="1">
      <alignment horizontal="center"/>
      <protection locked="0"/>
    </xf>
    <xf numFmtId="3" fontId="9" fillId="20" borderId="32" xfId="0" applyNumberFormat="1" applyFont="1" applyFill="1" applyBorder="1" applyAlignment="1" applyProtection="1">
      <alignment horizontal="center" wrapText="1"/>
      <protection locked="0"/>
    </xf>
    <xf numFmtId="166" fontId="9" fillId="20" borderId="32" xfId="0" applyNumberFormat="1" applyFont="1" applyFill="1" applyBorder="1" applyAlignment="1" applyProtection="1">
      <alignment horizontal="center" wrapText="1"/>
      <protection locked="0"/>
    </xf>
    <xf numFmtId="166" fontId="9" fillId="20" borderId="33" xfId="0" applyNumberFormat="1" applyFont="1" applyFill="1" applyBorder="1" applyAlignment="1" applyProtection="1">
      <alignment horizontal="center"/>
      <protection locked="0"/>
    </xf>
    <xf numFmtId="3" fontId="9" fillId="20" borderId="33" xfId="0" applyNumberFormat="1" applyFont="1" applyFill="1" applyBorder="1" applyAlignment="1" applyProtection="1">
      <alignment horizontal="center"/>
      <protection locked="0"/>
    </xf>
    <xf numFmtId="0" fontId="1" fillId="0" borderId="33" xfId="0" applyFont="1" applyFill="1" applyBorder="1" applyAlignment="1"/>
    <xf numFmtId="0" fontId="10" fillId="0" borderId="0" xfId="0" applyFont="1" applyFill="1"/>
    <xf numFmtId="3" fontId="9" fillId="0" borderId="0" xfId="0" applyNumberFormat="1" applyFont="1" applyFill="1"/>
    <xf numFmtId="4" fontId="9" fillId="0" borderId="0" xfId="0" applyNumberFormat="1" applyFont="1" applyFill="1"/>
    <xf numFmtId="0" fontId="9" fillId="0" borderId="0" xfId="0" applyFont="1" applyFill="1"/>
    <xf numFmtId="3" fontId="9" fillId="0" borderId="0" xfId="0" applyNumberFormat="1" applyFont="1" applyFill="1" applyAlignment="1">
      <alignment horizontal="right"/>
    </xf>
    <xf numFmtId="0" fontId="32" fillId="0" borderId="0" xfId="0" applyFont="1" applyFill="1"/>
    <xf numFmtId="0" fontId="7" fillId="0" borderId="0" xfId="0" applyFont="1" applyFill="1"/>
    <xf numFmtId="3" fontId="9" fillId="0" borderId="0" xfId="0" applyNumberFormat="1" applyFont="1" applyFill="1" applyProtection="1"/>
    <xf numFmtId="4" fontId="9" fillId="0" borderId="0" xfId="0" applyNumberFormat="1" applyFont="1" applyFill="1" applyProtection="1"/>
    <xf numFmtId="3" fontId="7" fillId="0" borderId="0" xfId="0" applyNumberFormat="1" applyFont="1" applyFill="1"/>
    <xf numFmtId="4" fontId="7" fillId="0" borderId="0" xfId="0" applyNumberFormat="1" applyFont="1" applyFill="1"/>
    <xf numFmtId="4" fontId="7" fillId="0" borderId="0" xfId="0" applyNumberFormat="1" applyFont="1" applyFill="1" applyAlignment="1">
      <alignment horizontal="center"/>
    </xf>
    <xf numFmtId="3" fontId="7" fillId="0" borderId="21" xfId="0" applyNumberFormat="1" applyFont="1" applyFill="1" applyBorder="1"/>
    <xf numFmtId="3" fontId="7" fillId="0" borderId="31" xfId="0" applyNumberFormat="1" applyFont="1" applyFill="1" applyBorder="1"/>
    <xf numFmtId="3" fontId="9" fillId="0" borderId="31" xfId="0" applyNumberFormat="1" applyFont="1" applyFill="1" applyBorder="1"/>
    <xf numFmtId="4" fontId="9" fillId="0" borderId="31" xfId="0" applyNumberFormat="1" applyFont="1" applyFill="1" applyBorder="1"/>
    <xf numFmtId="0" fontId="9" fillId="0" borderId="31" xfId="0" applyFont="1" applyFill="1" applyBorder="1"/>
    <xf numFmtId="3" fontId="9" fillId="0" borderId="28" xfId="0" applyNumberFormat="1" applyFont="1" applyFill="1" applyBorder="1"/>
    <xf numFmtId="3" fontId="9" fillId="0" borderId="0" xfId="0" applyNumberFormat="1" applyFont="1" applyFill="1" applyBorder="1"/>
    <xf numFmtId="4" fontId="9" fillId="0" borderId="0" xfId="0" applyNumberFormat="1" applyFont="1" applyFill="1" applyBorder="1"/>
    <xf numFmtId="0" fontId="9" fillId="0" borderId="0" xfId="0" applyFont="1" applyFill="1" applyBorder="1"/>
    <xf numFmtId="3" fontId="9" fillId="0" borderId="27" xfId="0" applyNumberFormat="1" applyFont="1" applyFill="1" applyBorder="1"/>
    <xf numFmtId="4" fontId="9" fillId="0" borderId="0" xfId="0" applyNumberFormat="1" applyFont="1" applyFill="1" applyBorder="1" applyAlignment="1">
      <alignment horizontal="right"/>
    </xf>
    <xf numFmtId="14" fontId="9" fillId="0" borderId="0" xfId="0" applyNumberFormat="1" applyFont="1" applyFill="1" applyBorder="1"/>
    <xf numFmtId="3" fontId="7" fillId="0" borderId="49" xfId="0" applyNumberFormat="1" applyFont="1" applyFill="1" applyBorder="1"/>
    <xf numFmtId="3" fontId="9" fillId="0" borderId="20" xfId="0" applyNumberFormat="1" applyFont="1" applyFill="1" applyBorder="1"/>
    <xf numFmtId="3" fontId="9" fillId="0" borderId="0" xfId="0" applyNumberFormat="1" applyFont="1" applyFill="1" applyBorder="1" applyAlignment="1">
      <alignment horizontal="right"/>
    </xf>
    <xf numFmtId="0" fontId="9" fillId="0" borderId="22" xfId="0" applyFont="1" applyFill="1" applyBorder="1"/>
    <xf numFmtId="0" fontId="9" fillId="0" borderId="29" xfId="0" applyFont="1" applyFill="1" applyBorder="1"/>
    <xf numFmtId="3" fontId="9" fillId="0" borderId="29" xfId="0" applyNumberFormat="1" applyFont="1" applyFill="1" applyBorder="1"/>
    <xf numFmtId="4" fontId="9" fillId="0" borderId="29" xfId="0" applyNumberFormat="1" applyFont="1" applyFill="1" applyBorder="1"/>
    <xf numFmtId="3" fontId="9" fillId="0" borderId="24" xfId="0" applyNumberFormat="1" applyFont="1" applyFill="1" applyBorder="1"/>
    <xf numFmtId="14" fontId="9" fillId="0" borderId="22" xfId="0" applyNumberFormat="1" applyFont="1" applyFill="1" applyBorder="1"/>
    <xf numFmtId="14" fontId="9" fillId="0" borderId="29" xfId="0" applyNumberFormat="1" applyFont="1" applyFill="1" applyBorder="1"/>
    <xf numFmtId="3" fontId="7" fillId="0" borderId="0" xfId="0" applyNumberFormat="1" applyFont="1" applyFill="1" applyBorder="1"/>
    <xf numFmtId="166" fontId="7" fillId="0" borderId="0" xfId="0" applyNumberFormat="1" applyFont="1" applyFill="1" applyBorder="1"/>
    <xf numFmtId="3" fontId="9" fillId="0" borderId="29" xfId="0" applyNumberFormat="1" applyFont="1" applyFill="1" applyBorder="1" applyAlignment="1">
      <alignment horizontal="right"/>
    </xf>
    <xf numFmtId="14" fontId="9" fillId="0" borderId="0" xfId="0" applyNumberFormat="1" applyFont="1" applyFill="1"/>
    <xf numFmtId="14" fontId="7" fillId="0" borderId="0" xfId="0" applyNumberFormat="1" applyFont="1" applyFill="1"/>
    <xf numFmtId="3" fontId="7" fillId="0" borderId="0" xfId="0" applyNumberFormat="1" applyFont="1" applyFill="1" applyBorder="1" applyAlignment="1">
      <alignment vertical="center"/>
    </xf>
    <xf numFmtId="14" fontId="9" fillId="0" borderId="21" xfId="0" applyNumberFormat="1" applyFont="1" applyFill="1" applyBorder="1"/>
    <xf numFmtId="14" fontId="9" fillId="0" borderId="31" xfId="0" applyNumberFormat="1" applyFont="1" applyFill="1" applyBorder="1"/>
    <xf numFmtId="0" fontId="9" fillId="0" borderId="28" xfId="0" applyFont="1" applyFill="1" applyBorder="1"/>
    <xf numFmtId="14" fontId="9" fillId="0" borderId="20" xfId="0" applyNumberFormat="1" applyFont="1" applyFill="1" applyBorder="1"/>
    <xf numFmtId="0" fontId="9" fillId="0" borderId="27" xfId="0" applyFont="1" applyFill="1" applyBorder="1"/>
    <xf numFmtId="0" fontId="9" fillId="0" borderId="24" xfId="0" applyFont="1" applyFill="1" applyBorder="1"/>
    <xf numFmtId="3" fontId="7" fillId="0" borderId="0" xfId="0" applyNumberFormat="1" applyFont="1" applyFill="1" applyBorder="1" applyAlignment="1" applyProtection="1">
      <alignment vertical="center"/>
    </xf>
    <xf numFmtId="0" fontId="9" fillId="0" borderId="0" xfId="0" applyFont="1" applyFill="1" applyBorder="1" applyAlignment="1" applyProtection="1">
      <alignment vertical="center"/>
    </xf>
    <xf numFmtId="14" fontId="9" fillId="0" borderId="79" xfId="0" applyNumberFormat="1" applyFont="1" applyFill="1" applyBorder="1"/>
    <xf numFmtId="14" fontId="9" fillId="0" borderId="80" xfId="0" applyNumberFormat="1" applyFont="1" applyFill="1" applyBorder="1"/>
    <xf numFmtId="3" fontId="9" fillId="0" borderId="80" xfId="0" applyNumberFormat="1" applyFont="1" applyFill="1" applyBorder="1"/>
    <xf numFmtId="4" fontId="9" fillId="0" borderId="80" xfId="0" applyNumberFormat="1" applyFont="1" applyFill="1" applyBorder="1"/>
    <xf numFmtId="0" fontId="9" fillId="0" borderId="80" xfId="0" applyFont="1" applyFill="1" applyBorder="1"/>
    <xf numFmtId="3" fontId="9" fillId="0" borderId="81" xfId="0" applyNumberFormat="1" applyFont="1" applyFill="1" applyBorder="1"/>
    <xf numFmtId="14" fontId="7" fillId="0" borderId="82" xfId="0" applyNumberFormat="1" applyFont="1" applyFill="1" applyBorder="1"/>
    <xf numFmtId="3" fontId="9" fillId="0" borderId="83" xfId="0" applyNumberFormat="1" applyFont="1" applyFill="1" applyBorder="1"/>
    <xf numFmtId="14" fontId="9" fillId="0" borderId="84" xfId="0" applyNumberFormat="1" applyFont="1" applyFill="1" applyBorder="1"/>
    <xf numFmtId="14" fontId="9" fillId="0" borderId="85" xfId="0" applyNumberFormat="1" applyFont="1" applyFill="1" applyBorder="1"/>
    <xf numFmtId="3" fontId="9" fillId="0" borderId="85" xfId="0" applyNumberFormat="1" applyFont="1" applyFill="1" applyBorder="1"/>
    <xf numFmtId="4" fontId="9" fillId="0" borderId="85" xfId="0" applyNumberFormat="1" applyFont="1" applyFill="1" applyBorder="1"/>
    <xf numFmtId="0" fontId="9" fillId="0" borderId="85" xfId="0" applyFont="1" applyFill="1" applyBorder="1"/>
    <xf numFmtId="3" fontId="9" fillId="0" borderId="86" xfId="0" applyNumberFormat="1" applyFont="1" applyFill="1" applyBorder="1"/>
    <xf numFmtId="14" fontId="31" fillId="0" borderId="0" xfId="0" applyNumberFormat="1" applyFont="1" applyFill="1"/>
    <xf numFmtId="3" fontId="33" fillId="0" borderId="20" xfId="0" applyNumberFormat="1" applyFont="1" applyFill="1" applyBorder="1"/>
    <xf numFmtId="0" fontId="7" fillId="0" borderId="0" xfId="0" applyFont="1" applyFill="1" applyAlignment="1">
      <alignment horizontal="right"/>
    </xf>
    <xf numFmtId="1" fontId="9" fillId="0" borderId="0" xfId="0" applyNumberFormat="1" applyFont="1" applyFill="1" applyBorder="1" applyAlignment="1" applyProtection="1">
      <alignment horizontal="left"/>
    </xf>
    <xf numFmtId="1" fontId="7" fillId="0" borderId="0" xfId="0" applyNumberFormat="1" applyFont="1" applyFill="1" applyBorder="1" applyAlignment="1" applyProtection="1">
      <alignment horizontal="left"/>
    </xf>
    <xf numFmtId="14" fontId="9" fillId="0" borderId="0" xfId="0" applyNumberFormat="1" applyFont="1" applyFill="1" applyBorder="1" applyAlignment="1" applyProtection="1">
      <alignment horizontal="center"/>
    </xf>
    <xf numFmtId="1" fontId="7" fillId="0" borderId="0" xfId="0" applyNumberFormat="1" applyFont="1" applyFill="1" applyBorder="1" applyAlignment="1" applyProtection="1">
      <alignment horizontal="right"/>
    </xf>
    <xf numFmtId="1" fontId="9" fillId="0" borderId="0" xfId="0" applyNumberFormat="1" applyFont="1" applyFill="1" applyBorder="1" applyAlignment="1" applyProtection="1">
      <alignment horizontal="center"/>
    </xf>
    <xf numFmtId="14" fontId="9" fillId="20" borderId="32" xfId="0" applyNumberFormat="1" applyFont="1" applyFill="1" applyBorder="1" applyProtection="1">
      <protection locked="0"/>
    </xf>
    <xf numFmtId="3" fontId="9" fillId="20" borderId="49" xfId="0" applyNumberFormat="1" applyFont="1" applyFill="1" applyBorder="1" applyProtection="1">
      <protection locked="0"/>
    </xf>
    <xf numFmtId="3" fontId="9" fillId="20" borderId="35" xfId="0" applyNumberFormat="1" applyFont="1" applyFill="1" applyBorder="1" applyProtection="1">
      <protection locked="0"/>
    </xf>
    <xf numFmtId="3" fontId="9" fillId="20" borderId="32" xfId="0" applyNumberFormat="1" applyFont="1" applyFill="1" applyBorder="1" applyProtection="1">
      <protection locked="0"/>
    </xf>
    <xf numFmtId="0" fontId="2" fillId="0" borderId="0" xfId="0" applyFont="1" applyFill="1" applyAlignment="1" applyProtection="1"/>
    <xf numFmtId="0" fontId="2" fillId="0" borderId="0" xfId="0" applyFont="1" applyFill="1" applyBorder="1" applyProtection="1"/>
    <xf numFmtId="0" fontId="30" fillId="0" borderId="0" xfId="0" applyFont="1" applyFill="1" applyProtection="1"/>
    <xf numFmtId="0" fontId="2" fillId="0" borderId="79" xfId="0" applyFont="1" applyFill="1" applyBorder="1"/>
    <xf numFmtId="0" fontId="2" fillId="0" borderId="80" xfId="0" applyFont="1" applyFill="1" applyBorder="1"/>
    <xf numFmtId="0" fontId="2" fillId="0" borderId="81" xfId="0" applyFont="1" applyFill="1" applyBorder="1"/>
    <xf numFmtId="0" fontId="2" fillId="0" borderId="82" xfId="0" applyFont="1" applyFill="1" applyBorder="1"/>
    <xf numFmtId="0" fontId="30" fillId="0" borderId="0" xfId="0" applyFont="1" applyFill="1" applyBorder="1"/>
    <xf numFmtId="0" fontId="2" fillId="0" borderId="83" xfId="0" applyFont="1" applyFill="1" applyBorder="1"/>
    <xf numFmtId="0" fontId="30" fillId="0" borderId="32" xfId="0" applyFont="1" applyFill="1" applyBorder="1"/>
    <xf numFmtId="0" fontId="30" fillId="0" borderId="32" xfId="0" applyFont="1" applyFill="1" applyBorder="1" applyAlignment="1">
      <alignment horizontal="center"/>
    </xf>
    <xf numFmtId="0" fontId="2" fillId="0" borderId="32" xfId="0" applyFont="1" applyFill="1" applyBorder="1" applyAlignment="1">
      <alignment horizontal="center"/>
    </xf>
    <xf numFmtId="49" fontId="2" fillId="0" borderId="32" xfId="0" applyNumberFormat="1" applyFont="1" applyFill="1" applyBorder="1" applyAlignment="1" applyProtection="1">
      <alignment horizontal="left"/>
    </xf>
    <xf numFmtId="3" fontId="30" fillId="0" borderId="32" xfId="0" applyNumberFormat="1" applyFont="1" applyFill="1" applyBorder="1"/>
    <xf numFmtId="4" fontId="2" fillId="0" borderId="32" xfId="0" applyNumberFormat="1" applyFont="1" applyFill="1" applyBorder="1"/>
    <xf numFmtId="0" fontId="2" fillId="0" borderId="84" xfId="0" applyFont="1" applyFill="1" applyBorder="1"/>
    <xf numFmtId="0" fontId="2" fillId="0" borderId="85" xfId="0" applyFont="1" applyFill="1" applyBorder="1"/>
    <xf numFmtId="0" fontId="2" fillId="0" borderId="86" xfId="0" applyFont="1" applyFill="1" applyBorder="1"/>
    <xf numFmtId="0" fontId="2" fillId="0" borderId="32" xfId="0" applyFont="1" applyFill="1" applyBorder="1" applyProtection="1"/>
    <xf numFmtId="0" fontId="2" fillId="0" borderId="32" xfId="0" applyFont="1" applyFill="1" applyBorder="1" applyAlignment="1" applyProtection="1">
      <alignment horizontal="center"/>
    </xf>
    <xf numFmtId="3" fontId="2" fillId="0" borderId="32" xfId="0" applyNumberFormat="1" applyFont="1" applyFill="1" applyBorder="1" applyProtection="1"/>
    <xf numFmtId="4" fontId="2" fillId="0" borderId="32" xfId="0" applyNumberFormat="1" applyFont="1" applyFill="1" applyBorder="1" applyProtection="1"/>
    <xf numFmtId="0" fontId="30" fillId="0" borderId="0" xfId="0" applyFont="1" applyFill="1" applyAlignment="1" applyProtection="1"/>
    <xf numFmtId="49" fontId="2" fillId="0" borderId="15" xfId="0" applyNumberFormat="1" applyFont="1" applyFill="1" applyBorder="1" applyAlignment="1" applyProtection="1">
      <alignment horizontal="left"/>
      <protection locked="0"/>
    </xf>
    <xf numFmtId="0" fontId="2" fillId="0" borderId="0" xfId="0" applyFont="1" applyFill="1" applyAlignment="1" applyProtection="1">
      <alignment horizontal="left"/>
    </xf>
    <xf numFmtId="0" fontId="9" fillId="0" borderId="33" xfId="0" applyFont="1" applyFill="1" applyBorder="1"/>
    <xf numFmtId="0" fontId="9" fillId="0" borderId="34" xfId="0" applyFont="1" applyFill="1" applyBorder="1"/>
    <xf numFmtId="0" fontId="9" fillId="0" borderId="20" xfId="0" applyFont="1" applyFill="1" applyBorder="1"/>
    <xf numFmtId="0" fontId="9" fillId="0" borderId="21" xfId="0" applyFont="1" applyFill="1" applyBorder="1"/>
    <xf numFmtId="0" fontId="9" fillId="0" borderId="35" xfId="0" applyFont="1" applyFill="1" applyBorder="1"/>
    <xf numFmtId="0" fontId="9" fillId="0" borderId="34" xfId="0" applyFont="1" applyFill="1" applyBorder="1" applyAlignment="1"/>
    <xf numFmtId="0" fontId="9" fillId="0" borderId="35" xfId="0" applyFont="1" applyFill="1" applyBorder="1" applyAlignment="1">
      <alignment horizontal="left" indent="2"/>
    </xf>
    <xf numFmtId="0" fontId="21" fillId="0" borderId="0" xfId="0" applyFont="1" applyFill="1" applyProtection="1"/>
    <xf numFmtId="49" fontId="2"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left"/>
    </xf>
    <xf numFmtId="0" fontId="0" fillId="0" borderId="0" xfId="0" applyFill="1" applyBorder="1" applyAlignment="1" applyProtection="1">
      <alignment horizontal="left"/>
    </xf>
    <xf numFmtId="0" fontId="2" fillId="0" borderId="0" xfId="0" applyFont="1" applyFill="1" applyBorder="1" applyAlignment="1" applyProtection="1"/>
    <xf numFmtId="0" fontId="0" fillId="0" borderId="0" xfId="0" applyFill="1" applyBorder="1" applyAlignment="1" applyProtection="1"/>
    <xf numFmtId="49" fontId="2" fillId="20" borderId="32" xfId="0" applyNumberFormat="1" applyFont="1" applyFill="1" applyBorder="1" applyAlignment="1" applyProtection="1">
      <alignment horizontal="left"/>
      <protection locked="0"/>
    </xf>
    <xf numFmtId="49" fontId="2" fillId="0" borderId="15" xfId="0" applyNumberFormat="1" applyFont="1" applyFill="1" applyBorder="1" applyAlignment="1" applyProtection="1">
      <alignment horizontal="left"/>
    </xf>
    <xf numFmtId="49" fontId="2" fillId="0" borderId="16" xfId="0" applyNumberFormat="1" applyFont="1" applyFill="1" applyBorder="1" applyAlignment="1" applyProtection="1">
      <alignment horizontal="left"/>
    </xf>
    <xf numFmtId="3" fontId="9" fillId="19" borderId="28" xfId="0" applyNumberFormat="1" applyFont="1" applyFill="1" applyBorder="1" applyProtection="1"/>
    <xf numFmtId="0" fontId="34" fillId="0" borderId="14" xfId="0" applyFont="1" applyFill="1" applyBorder="1" applyProtection="1"/>
    <xf numFmtId="0" fontId="1" fillId="0" borderId="0" xfId="0" applyFont="1" applyFill="1"/>
    <xf numFmtId="14" fontId="9" fillId="0" borderId="15" xfId="0" applyNumberFormat="1" applyFont="1" applyFill="1" applyBorder="1"/>
    <xf numFmtId="3" fontId="9" fillId="0" borderId="15" xfId="0" applyNumberFormat="1" applyFont="1" applyFill="1" applyBorder="1"/>
    <xf numFmtId="4" fontId="9" fillId="0" borderId="15" xfId="0" applyNumberFormat="1" applyFont="1" applyFill="1" applyBorder="1"/>
    <xf numFmtId="0" fontId="9" fillId="0" borderId="15" xfId="0" applyFont="1" applyFill="1" applyBorder="1"/>
    <xf numFmtId="3" fontId="9" fillId="0" borderId="16" xfId="0" applyNumberFormat="1" applyFont="1" applyFill="1" applyBorder="1"/>
    <xf numFmtId="0" fontId="30" fillId="0" borderId="15" xfId="0" applyFont="1" applyFill="1" applyBorder="1" applyAlignment="1" applyProtection="1"/>
    <xf numFmtId="0" fontId="5" fillId="0" borderId="14" xfId="0" applyFont="1" applyFill="1" applyBorder="1" applyAlignment="1" applyProtection="1"/>
    <xf numFmtId="0" fontId="35" fillId="0" borderId="15" xfId="0" applyFont="1" applyFill="1" applyBorder="1" applyProtection="1"/>
    <xf numFmtId="0" fontId="3" fillId="0" borderId="0" xfId="0" applyFont="1" applyFill="1" applyAlignment="1">
      <alignment horizontal="right" vertical="center"/>
    </xf>
    <xf numFmtId="0" fontId="25" fillId="0" borderId="0" xfId="0" applyFont="1" applyFill="1" applyAlignment="1" applyProtection="1">
      <alignment horizontal="right" vertical="center"/>
    </xf>
    <xf numFmtId="2" fontId="7" fillId="0" borderId="49" xfId="0" applyNumberFormat="1" applyFont="1" applyFill="1" applyBorder="1"/>
    <xf numFmtId="3" fontId="7" fillId="19" borderId="14" xfId="0" applyNumberFormat="1" applyFont="1" applyFill="1" applyBorder="1" applyAlignment="1" applyProtection="1">
      <alignment horizontal="centerContinuous"/>
    </xf>
    <xf numFmtId="3" fontId="9" fillId="19" borderId="15" xfId="0" applyNumberFormat="1" applyFont="1" applyFill="1" applyBorder="1" applyAlignment="1" applyProtection="1">
      <alignment horizontal="centerContinuous"/>
    </xf>
    <xf numFmtId="3" fontId="9" fillId="19" borderId="16" xfId="0" applyNumberFormat="1" applyFont="1" applyFill="1" applyBorder="1" applyAlignment="1" applyProtection="1">
      <alignment horizontal="centerContinuous"/>
    </xf>
    <xf numFmtId="3" fontId="9" fillId="0" borderId="49" xfId="0" applyNumberFormat="1" applyFont="1" applyFill="1" applyBorder="1" applyProtection="1"/>
    <xf numFmtId="0" fontId="36" fillId="0" borderId="0" xfId="0" applyFont="1" applyFill="1" applyBorder="1"/>
    <xf numFmtId="0" fontId="36" fillId="0" borderId="0" xfId="0" applyFont="1" applyFill="1"/>
    <xf numFmtId="0" fontId="36" fillId="0" borderId="0" xfId="0" applyFont="1" applyFill="1" applyBorder="1" applyAlignment="1">
      <alignment horizontal="right"/>
    </xf>
    <xf numFmtId="3" fontId="36" fillId="0" borderId="0" xfId="0" applyNumberFormat="1" applyFont="1" applyFill="1" applyBorder="1"/>
    <xf numFmtId="14" fontId="36" fillId="0" borderId="0" xfId="0" applyNumberFormat="1" applyFont="1" applyFill="1"/>
    <xf numFmtId="14" fontId="36" fillId="0" borderId="0" xfId="0" applyNumberFormat="1" applyFont="1" applyFill="1" applyBorder="1"/>
    <xf numFmtId="2" fontId="9" fillId="0" borderId="29" xfId="0" applyNumberFormat="1" applyFont="1" applyFill="1" applyBorder="1"/>
    <xf numFmtId="0" fontId="9" fillId="0" borderId="0" xfId="0" applyNumberFormat="1" applyFont="1" applyFill="1" applyBorder="1" applyProtection="1"/>
    <xf numFmtId="3" fontId="36" fillId="0" borderId="0" xfId="0" applyNumberFormat="1" applyFont="1" applyFill="1"/>
    <xf numFmtId="2" fontId="36" fillId="0" borderId="0" xfId="0" applyNumberFormat="1" applyFont="1" applyFill="1"/>
    <xf numFmtId="0" fontId="37" fillId="0" borderId="87" xfId="0" applyFont="1" applyBorder="1" applyAlignment="1">
      <alignment vertical="top" wrapText="1"/>
    </xf>
    <xf numFmtId="0" fontId="37" fillId="0" borderId="88" xfId="0" applyFont="1" applyBorder="1" applyAlignment="1">
      <alignment vertical="top" wrapText="1"/>
    </xf>
    <xf numFmtId="0" fontId="37" fillId="0" borderId="33" xfId="0" applyFont="1" applyBorder="1" applyAlignment="1">
      <alignment vertical="top" wrapText="1"/>
    </xf>
    <xf numFmtId="0" fontId="37" fillId="0" borderId="73" xfId="0" applyFont="1" applyBorder="1" applyAlignment="1">
      <alignment vertical="top" wrapText="1"/>
    </xf>
    <xf numFmtId="0" fontId="37" fillId="0" borderId="34" xfId="0" applyFont="1" applyBorder="1" applyAlignment="1">
      <alignment vertical="top" wrapText="1"/>
    </xf>
    <xf numFmtId="0" fontId="37" fillId="0" borderId="35" xfId="0" applyFont="1" applyBorder="1" applyAlignment="1">
      <alignment vertical="top" wrapText="1"/>
    </xf>
    <xf numFmtId="0" fontId="9" fillId="0" borderId="35" xfId="0" applyFont="1" applyBorder="1" applyAlignment="1">
      <alignment vertical="top" wrapText="1"/>
    </xf>
    <xf numFmtId="0" fontId="33" fillId="0" borderId="0" xfId="0" applyNumberFormat="1" applyFont="1" applyFill="1" applyBorder="1"/>
    <xf numFmtId="0" fontId="33" fillId="0" borderId="0" xfId="0" applyNumberFormat="1" applyFont="1" applyFill="1" applyBorder="1" applyAlignment="1" applyProtection="1">
      <alignment horizontal="center"/>
    </xf>
    <xf numFmtId="0" fontId="33" fillId="0" borderId="0" xfId="0" applyNumberFormat="1" applyFont="1" applyFill="1" applyBorder="1" applyProtection="1"/>
    <xf numFmtId="0" fontId="5" fillId="20" borderId="89" xfId="0" applyFont="1" applyFill="1" applyBorder="1" applyAlignment="1" applyProtection="1">
      <alignment horizontal="left"/>
      <protection locked="0"/>
    </xf>
    <xf numFmtId="166" fontId="9" fillId="19" borderId="28" xfId="0" applyNumberFormat="1" applyFont="1" applyFill="1" applyBorder="1" applyAlignment="1" applyProtection="1">
      <alignment horizontal="center"/>
    </xf>
    <xf numFmtId="166" fontId="9" fillId="19" borderId="27" xfId="0" applyNumberFormat="1" applyFont="1" applyFill="1" applyBorder="1" applyAlignment="1" applyProtection="1">
      <alignment horizontal="center"/>
    </xf>
    <xf numFmtId="0" fontId="1" fillId="0" borderId="0" xfId="0" applyFont="1"/>
    <xf numFmtId="0" fontId="7" fillId="0" borderId="32" xfId="0" applyFont="1" applyBorder="1"/>
    <xf numFmtId="0" fontId="7" fillId="0" borderId="32" xfId="0" applyFont="1" applyBorder="1" applyAlignment="1">
      <alignment horizontal="center"/>
    </xf>
    <xf numFmtId="0" fontId="7" fillId="0" borderId="32" xfId="0" applyFont="1" applyBorder="1" applyAlignment="1"/>
    <xf numFmtId="0" fontId="7" fillId="0" borderId="32" xfId="0" applyFont="1" applyFill="1" applyBorder="1" applyAlignment="1">
      <alignment horizontal="center"/>
    </xf>
    <xf numFmtId="164" fontId="9" fillId="19" borderId="22" xfId="0" applyNumberFormat="1" applyFont="1" applyFill="1" applyBorder="1" applyProtection="1"/>
    <xf numFmtId="164" fontId="9" fillId="19" borderId="24" xfId="0" applyNumberFormat="1" applyFont="1" applyFill="1" applyBorder="1" applyProtection="1"/>
    <xf numFmtId="0" fontId="14" fillId="0" borderId="0" xfId="0" applyNumberFormat="1" applyFont="1" applyFill="1" applyBorder="1" applyAlignment="1" applyProtection="1"/>
    <xf numFmtId="0" fontId="53" fillId="0" borderId="0" xfId="0" applyFont="1" applyAlignment="1">
      <alignment horizontal="right"/>
    </xf>
    <xf numFmtId="0" fontId="4" fillId="0" borderId="0" xfId="0" applyNumberFormat="1" applyFont="1" applyFill="1" applyBorder="1" applyAlignment="1" applyProtection="1"/>
    <xf numFmtId="0" fontId="4" fillId="0" borderId="0" xfId="0" applyNumberFormat="1" applyFont="1" applyFill="1" applyBorder="1" applyAlignment="1" applyProtection="1">
      <alignment horizontal="right"/>
    </xf>
    <xf numFmtId="0" fontId="30" fillId="0" borderId="0" xfId="0" applyFont="1" applyAlignment="1" applyProtection="1">
      <alignment horizontal="left" vertical="center"/>
      <protection locked="0"/>
    </xf>
    <xf numFmtId="0" fontId="35" fillId="0" borderId="0" xfId="0" applyFont="1" applyProtection="1">
      <protection locked="0"/>
    </xf>
    <xf numFmtId="0" fontId="30" fillId="0" borderId="0" xfId="0" applyFont="1" applyProtection="1">
      <protection locked="0"/>
    </xf>
    <xf numFmtId="0" fontId="3" fillId="0" borderId="0" xfId="44" applyFont="1"/>
    <xf numFmtId="0" fontId="9" fillId="0" borderId="0" xfId="0" applyFont="1"/>
    <xf numFmtId="0" fontId="9" fillId="0" borderId="0" xfId="0" quotePrefix="1" applyFont="1"/>
    <xf numFmtId="0" fontId="5" fillId="0" borderId="0" xfId="44" applyFont="1"/>
    <xf numFmtId="0" fontId="2" fillId="0" borderId="0" xfId="44" applyFont="1"/>
    <xf numFmtId="0" fontId="56" fillId="0" borderId="0" xfId="44" applyFont="1"/>
    <xf numFmtId="0" fontId="5" fillId="0" borderId="0" xfId="0" applyFont="1"/>
    <xf numFmtId="0" fontId="4" fillId="0" borderId="0" xfId="44" applyFont="1" applyAlignment="1">
      <alignment horizontal="right"/>
    </xf>
    <xf numFmtId="0" fontId="30" fillId="0" borderId="0" xfId="44" applyFont="1" applyAlignment="1">
      <alignment horizontal="right"/>
    </xf>
    <xf numFmtId="0" fontId="14" fillId="0" borderId="0" xfId="0" applyFont="1" applyAlignment="1">
      <alignment horizontal="right"/>
    </xf>
    <xf numFmtId="0" fontId="30" fillId="0" borderId="0" xfId="0" applyFont="1"/>
    <xf numFmtId="0" fontId="30" fillId="0" borderId="0" xfId="44" applyFont="1"/>
    <xf numFmtId="0" fontId="3" fillId="0" borderId="0" xfId="0" applyFont="1" applyAlignment="1">
      <alignment horizontal="right" vertical="center"/>
    </xf>
    <xf numFmtId="0" fontId="35" fillId="0" borderId="0" xfId="0" applyFont="1"/>
    <xf numFmtId="0" fontId="35" fillId="0" borderId="0" xfId="0" applyFont="1" applyAlignment="1" applyProtection="1">
      <alignment horizontal="left"/>
      <protection locked="0"/>
    </xf>
    <xf numFmtId="0" fontId="35" fillId="0" borderId="0" xfId="0" applyFont="1" applyAlignment="1">
      <alignment horizontal="left"/>
    </xf>
    <xf numFmtId="14" fontId="35" fillId="0" borderId="0" xfId="0" applyNumberFormat="1" applyFont="1" applyAlignment="1" applyProtection="1">
      <alignment horizontal="left"/>
      <protection locked="0"/>
    </xf>
    <xf numFmtId="0" fontId="0" fillId="0" borderId="27" xfId="0" applyFill="1" applyBorder="1" applyAlignment="1">
      <alignment horizontal="right"/>
    </xf>
    <xf numFmtId="0" fontId="0" fillId="0" borderId="0" xfId="0" applyAlignment="1">
      <alignment horizontal="left"/>
    </xf>
    <xf numFmtId="2" fontId="0" fillId="0" borderId="33" xfId="0" applyNumberFormat="1" applyBorder="1" applyAlignment="1">
      <alignment horizontal="center"/>
    </xf>
    <xf numFmtId="0" fontId="9" fillId="0" borderId="0" xfId="0" quotePrefix="1" applyFont="1" applyFill="1"/>
    <xf numFmtId="0" fontId="57" fillId="0" borderId="0" xfId="44" applyFont="1"/>
    <xf numFmtId="0" fontId="1" fillId="0" borderId="0" xfId="0" applyFont="1" applyFill="1" applyBorder="1" applyProtection="1"/>
    <xf numFmtId="0" fontId="1" fillId="0" borderId="29" xfId="0" applyFont="1" applyFill="1" applyBorder="1"/>
    <xf numFmtId="0" fontId="0" fillId="0" borderId="0" xfId="0" quotePrefix="1" applyFill="1"/>
    <xf numFmtId="0" fontId="51" fillId="0" borderId="0" xfId="0" applyFont="1" applyFill="1"/>
    <xf numFmtId="0" fontId="58" fillId="0" borderId="0" xfId="0" applyFont="1"/>
    <xf numFmtId="0" fontId="1" fillId="0" borderId="0" xfId="0" quotePrefix="1" applyFont="1" applyFill="1"/>
    <xf numFmtId="1" fontId="5" fillId="20" borderId="59" xfId="0" applyNumberFormat="1" applyFont="1" applyFill="1" applyBorder="1" applyAlignment="1" applyProtection="1">
      <alignment horizontal="center"/>
      <protection locked="0"/>
    </xf>
    <xf numFmtId="164" fontId="5" fillId="20" borderId="78" xfId="0" applyNumberFormat="1" applyFont="1" applyFill="1" applyBorder="1" applyAlignment="1" applyProtection="1">
      <alignment horizontal="center"/>
      <protection locked="0"/>
    </xf>
    <xf numFmtId="1" fontId="5" fillId="20" borderId="78" xfId="0" applyNumberFormat="1" applyFont="1" applyFill="1" applyBorder="1" applyAlignment="1" applyProtection="1">
      <alignment horizontal="center"/>
      <protection locked="0"/>
    </xf>
    <xf numFmtId="164" fontId="5" fillId="20" borderId="54" xfId="0" applyNumberFormat="1" applyFont="1" applyFill="1" applyBorder="1" applyAlignment="1" applyProtection="1">
      <alignment horizontal="center"/>
      <protection locked="0"/>
    </xf>
    <xf numFmtId="0" fontId="5" fillId="20" borderId="53" xfId="0" applyFont="1" applyFill="1" applyBorder="1" applyAlignment="1" applyProtection="1">
      <alignment horizontal="left"/>
      <protection locked="0"/>
    </xf>
    <xf numFmtId="1" fontId="5" fillId="20" borderId="60" xfId="0" applyNumberFormat="1" applyFont="1" applyFill="1" applyBorder="1" applyAlignment="1" applyProtection="1">
      <alignment horizontal="center"/>
      <protection locked="0"/>
    </xf>
    <xf numFmtId="164" fontId="5" fillId="20" borderId="89" xfId="0" applyNumberFormat="1" applyFont="1" applyFill="1" applyBorder="1" applyAlignment="1" applyProtection="1">
      <alignment horizontal="center"/>
      <protection locked="0"/>
    </xf>
    <xf numFmtId="0" fontId="2" fillId="0" borderId="0" xfId="0" applyFont="1" applyProtection="1">
      <protection locked="0"/>
    </xf>
    <xf numFmtId="49" fontId="5" fillId="20" borderId="89" xfId="0" applyNumberFormat="1" applyFont="1" applyFill="1" applyBorder="1" applyAlignment="1" applyProtection="1">
      <alignment horizontal="left"/>
      <protection locked="0"/>
    </xf>
    <xf numFmtId="0" fontId="0" fillId="0" borderId="0" xfId="0" applyFont="1" applyFill="1" applyProtection="1"/>
    <xf numFmtId="0" fontId="5" fillId="0" borderId="31" xfId="0" applyFont="1" applyBorder="1" applyProtection="1"/>
    <xf numFmtId="0" fontId="4" fillId="0" borderId="0" xfId="0" applyFont="1" applyBorder="1" applyProtection="1"/>
    <xf numFmtId="0" fontId="5" fillId="0" borderId="29" xfId="0" applyFont="1" applyBorder="1" applyProtection="1"/>
    <xf numFmtId="0" fontId="4" fillId="0" borderId="31" xfId="0" applyFont="1" applyBorder="1" applyProtection="1"/>
    <xf numFmtId="0" fontId="4" fillId="0" borderId="29" xfId="0" applyFont="1" applyBorder="1" applyProtection="1"/>
    <xf numFmtId="0" fontId="5" fillId="19" borderId="89" xfId="0" applyFont="1" applyFill="1" applyBorder="1" applyAlignment="1" applyProtection="1"/>
    <xf numFmtId="0" fontId="5" fillId="19" borderId="90" xfId="0" applyFont="1" applyFill="1" applyBorder="1" applyAlignment="1" applyProtection="1"/>
    <xf numFmtId="0" fontId="4" fillId="19" borderId="0" xfId="0" applyFont="1" applyFill="1" applyBorder="1" applyAlignment="1" applyProtection="1"/>
    <xf numFmtId="0" fontId="5" fillId="19" borderId="50" xfId="0" applyFont="1" applyFill="1" applyBorder="1" applyAlignment="1" applyProtection="1">
      <alignment horizontal="left"/>
    </xf>
    <xf numFmtId="0" fontId="5" fillId="19" borderId="90" xfId="0" applyFont="1" applyFill="1" applyBorder="1" applyAlignment="1" applyProtection="1">
      <alignment horizontal="left"/>
    </xf>
    <xf numFmtId="0" fontId="0" fillId="0" borderId="0" xfId="0" applyBorder="1" applyProtection="1"/>
    <xf numFmtId="0" fontId="0" fillId="0" borderId="0" xfId="0" applyBorder="1" applyAlignment="1" applyProtection="1">
      <alignment vertical="top"/>
    </xf>
    <xf numFmtId="0" fontId="5" fillId="20" borderId="89" xfId="0" applyFont="1" applyFill="1" applyBorder="1" applyAlignment="1" applyProtection="1">
      <alignment horizontal="left"/>
    </xf>
    <xf numFmtId="0" fontId="5" fillId="20" borderId="89" xfId="0" applyFont="1" applyFill="1" applyBorder="1" applyAlignment="1" applyProtection="1">
      <alignment horizontal="right"/>
    </xf>
    <xf numFmtId="49" fontId="5" fillId="20" borderId="89" xfId="0" applyNumberFormat="1" applyFont="1" applyFill="1" applyBorder="1" applyAlignment="1" applyProtection="1">
      <alignment horizontal="left"/>
    </xf>
    <xf numFmtId="14" fontId="5" fillId="20" borderId="52" xfId="0" applyNumberFormat="1" applyFont="1" applyFill="1" applyBorder="1" applyAlignment="1" applyProtection="1">
      <alignment horizontal="left"/>
    </xf>
    <xf numFmtId="0" fontId="9" fillId="0" borderId="33" xfId="0" applyFont="1" applyBorder="1" applyAlignment="1" applyProtection="1">
      <alignment horizontal="center"/>
    </xf>
    <xf numFmtId="0" fontId="9" fillId="0" borderId="34" xfId="0" applyFont="1" applyBorder="1" applyAlignment="1" applyProtection="1">
      <alignment horizontal="center"/>
    </xf>
    <xf numFmtId="0" fontId="9" fillId="0" borderId="35" xfId="0" applyFont="1" applyBorder="1" applyProtection="1"/>
    <xf numFmtId="0" fontId="9" fillId="19" borderId="31" xfId="0" applyFont="1" applyFill="1" applyBorder="1" applyAlignment="1" applyProtection="1"/>
    <xf numFmtId="0" fontId="9" fillId="19" borderId="28" xfId="0" applyFont="1" applyFill="1" applyBorder="1" applyAlignment="1" applyProtection="1"/>
    <xf numFmtId="0" fontId="9" fillId="19" borderId="10" xfId="0" applyFont="1" applyFill="1" applyBorder="1" applyAlignment="1" applyProtection="1">
      <alignment horizontal="left"/>
    </xf>
    <xf numFmtId="0" fontId="9" fillId="19" borderId="52" xfId="0" applyFont="1" applyFill="1" applyBorder="1" applyAlignment="1" applyProtection="1"/>
    <xf numFmtId="0" fontId="9" fillId="19" borderId="42" xfId="0" applyFont="1" applyFill="1" applyBorder="1" applyAlignment="1" applyProtection="1"/>
    <xf numFmtId="0" fontId="9" fillId="19" borderId="9" xfId="0" applyFont="1" applyFill="1" applyBorder="1" applyAlignment="1" applyProtection="1">
      <alignment horizontal="left"/>
    </xf>
    <xf numFmtId="0" fontId="9" fillId="19" borderId="91" xfId="0" applyFont="1" applyFill="1" applyBorder="1" applyAlignment="1" applyProtection="1"/>
    <xf numFmtId="0" fontId="9" fillId="19" borderId="51" xfId="0" applyFont="1" applyFill="1" applyBorder="1" applyAlignment="1" applyProtection="1"/>
    <xf numFmtId="0" fontId="9" fillId="19" borderId="30" xfId="0" applyFont="1" applyFill="1" applyBorder="1" applyAlignment="1" applyProtection="1">
      <alignment horizontal="left"/>
    </xf>
    <xf numFmtId="0" fontId="9" fillId="19" borderId="90" xfId="0" applyFont="1" applyFill="1" applyBorder="1" applyAlignment="1" applyProtection="1"/>
    <xf numFmtId="0" fontId="9" fillId="19" borderId="45" xfId="0" applyFont="1" applyFill="1" applyBorder="1" applyAlignment="1" applyProtection="1"/>
    <xf numFmtId="0" fontId="9" fillId="0" borderId="92" xfId="0" applyFont="1" applyBorder="1" applyAlignment="1" applyProtection="1">
      <alignment horizontal="center"/>
    </xf>
    <xf numFmtId="0" fontId="9" fillId="0" borderId="93" xfId="0" applyFont="1" applyBorder="1" applyAlignment="1" applyProtection="1">
      <alignment horizontal="center"/>
    </xf>
    <xf numFmtId="0" fontId="9" fillId="0" borderId="27" xfId="0" applyFont="1" applyBorder="1" applyAlignment="1" applyProtection="1">
      <alignment horizontal="center"/>
    </xf>
    <xf numFmtId="0" fontId="9" fillId="0" borderId="94" xfId="0" applyFont="1" applyBorder="1" applyAlignment="1" applyProtection="1">
      <alignment horizontal="center"/>
    </xf>
    <xf numFmtId="0" fontId="9" fillId="0" borderId="95" xfId="0" applyFont="1" applyBorder="1" applyAlignment="1" applyProtection="1">
      <alignment horizontal="center"/>
    </xf>
    <xf numFmtId="0" fontId="9" fillId="0" borderId="23" xfId="0" applyFont="1" applyBorder="1" applyAlignment="1" applyProtection="1">
      <alignment horizontal="center"/>
    </xf>
    <xf numFmtId="0" fontId="9" fillId="0" borderId="96" xfId="0" applyFont="1" applyBorder="1" applyAlignment="1" applyProtection="1">
      <alignment horizontal="center"/>
    </xf>
    <xf numFmtId="0" fontId="9" fillId="0" borderId="24" xfId="0" applyFont="1" applyBorder="1" applyAlignment="1" applyProtection="1">
      <alignment horizontal="center"/>
    </xf>
    <xf numFmtId="0" fontId="9" fillId="0" borderId="25" xfId="0" applyFont="1" applyBorder="1" applyAlignment="1" applyProtection="1">
      <alignment horizontal="center"/>
    </xf>
    <xf numFmtId="0" fontId="9" fillId="0" borderId="26" xfId="0" applyFont="1" applyBorder="1" applyAlignment="1" applyProtection="1">
      <alignment horizontal="center"/>
    </xf>
    <xf numFmtId="0" fontId="5" fillId="0" borderId="0" xfId="0" applyFont="1" applyAlignment="1" applyProtection="1">
      <alignment horizontal="right" vertical="center"/>
    </xf>
    <xf numFmtId="0" fontId="34" fillId="0" borderId="14" xfId="0" applyFont="1" applyFill="1" applyBorder="1" applyAlignment="1" applyProtection="1">
      <alignment horizontal="left"/>
    </xf>
    <xf numFmtId="0" fontId="30" fillId="20" borderId="49" xfId="0" applyFont="1" applyFill="1" applyBorder="1" applyAlignment="1" applyProtection="1">
      <alignment horizontal="left"/>
      <protection locked="0"/>
    </xf>
    <xf numFmtId="3" fontId="5" fillId="0" borderId="32" xfId="0" applyNumberFormat="1" applyFont="1" applyBorder="1" applyAlignment="1" applyProtection="1">
      <alignment horizontal="center" shrinkToFit="1"/>
    </xf>
    <xf numFmtId="3" fontId="5" fillId="0" borderId="12" xfId="0" applyNumberFormat="1" applyFont="1" applyFill="1" applyBorder="1" applyAlignment="1" applyProtection="1">
      <alignment horizontal="center" shrinkToFit="1"/>
    </xf>
    <xf numFmtId="4" fontId="5" fillId="0" borderId="55" xfId="0" applyNumberFormat="1" applyFont="1" applyFill="1" applyBorder="1" applyAlignment="1" applyProtection="1">
      <alignment horizontal="center" shrinkToFit="1"/>
    </xf>
    <xf numFmtId="3" fontId="5" fillId="0" borderId="56" xfId="33" applyNumberFormat="1" applyFont="1" applyFill="1" applyBorder="1" applyAlignment="1" applyProtection="1">
      <alignment horizontal="center" shrinkToFit="1"/>
    </xf>
    <xf numFmtId="3" fontId="5" fillId="0" borderId="13" xfId="0" applyNumberFormat="1" applyFont="1" applyFill="1" applyBorder="1" applyAlignment="1" applyProtection="1">
      <alignment horizontal="center" shrinkToFit="1"/>
    </xf>
    <xf numFmtId="3" fontId="5" fillId="0" borderId="87" xfId="0" applyNumberFormat="1" applyFont="1" applyFill="1" applyBorder="1" applyAlignment="1" applyProtection="1">
      <alignment horizontal="center"/>
    </xf>
    <xf numFmtId="0" fontId="5" fillId="20" borderId="52" xfId="0" applyFont="1" applyFill="1" applyBorder="1" applyAlignment="1" applyProtection="1">
      <alignment horizontal="left"/>
    </xf>
    <xf numFmtId="165" fontId="5" fillId="0" borderId="29" xfId="33" applyNumberFormat="1" applyFont="1" applyFill="1" applyBorder="1" applyAlignment="1" applyProtection="1">
      <alignment horizontal="centerContinuous"/>
    </xf>
    <xf numFmtId="165" fontId="5" fillId="0" borderId="24" xfId="33" applyNumberFormat="1" applyFont="1" applyFill="1" applyBorder="1" applyAlignment="1" applyProtection="1">
      <alignment horizontal="centerContinuous"/>
    </xf>
    <xf numFmtId="0" fontId="7" fillId="0" borderId="0" xfId="0" applyFont="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7" fillId="0" borderId="0" xfId="0" applyFont="1" applyFill="1" applyProtection="1"/>
    <xf numFmtId="0" fontId="7" fillId="0" borderId="0" xfId="0" applyFont="1" applyAlignment="1">
      <alignment horizontal="left"/>
    </xf>
    <xf numFmtId="14" fontId="5" fillId="0" borderId="18" xfId="0" applyNumberFormat="1" applyFont="1" applyFill="1" applyBorder="1" applyAlignment="1" applyProtection="1">
      <alignment horizontal="center"/>
    </xf>
    <xf numFmtId="3" fontId="5" fillId="0" borderId="77" xfId="33" applyNumberFormat="1" applyFont="1" applyFill="1" applyBorder="1" applyAlignment="1" applyProtection="1">
      <alignment horizontal="center"/>
    </xf>
    <xf numFmtId="3" fontId="5" fillId="0" borderId="57" xfId="33" applyNumberFormat="1" applyFont="1" applyFill="1" applyBorder="1" applyAlignment="1" applyProtection="1">
      <alignment horizontal="center"/>
    </xf>
    <xf numFmtId="165" fontId="5" fillId="0" borderId="77" xfId="33" applyNumberFormat="1" applyFont="1" applyFill="1" applyBorder="1" applyAlignment="1" applyProtection="1">
      <alignment horizontal="center"/>
    </xf>
    <xf numFmtId="3" fontId="5" fillId="0" borderId="18" xfId="0" applyNumberFormat="1" applyFont="1" applyFill="1" applyBorder="1" applyAlignment="1" applyProtection="1">
      <alignment horizontal="center"/>
    </xf>
    <xf numFmtId="4" fontId="5" fillId="0" borderId="77" xfId="0" applyNumberFormat="1" applyFont="1" applyFill="1" applyBorder="1" applyAlignment="1" applyProtection="1">
      <alignment horizontal="center"/>
    </xf>
    <xf numFmtId="166" fontId="9" fillId="0" borderId="33" xfId="0" applyNumberFormat="1" applyFont="1" applyFill="1" applyBorder="1" applyAlignment="1" applyProtection="1">
      <alignment horizontal="center"/>
    </xf>
    <xf numFmtId="0" fontId="55" fillId="20" borderId="74" xfId="44" applyFont="1" applyFill="1" applyBorder="1" applyAlignment="1" applyProtection="1">
      <protection locked="0"/>
    </xf>
    <xf numFmtId="0" fontId="0" fillId="0" borderId="57" xfId="0" applyBorder="1" applyAlignment="1"/>
    <xf numFmtId="0" fontId="55" fillId="0" borderId="74" xfId="44" applyFont="1" applyFill="1" applyBorder="1" applyAlignment="1"/>
    <xf numFmtId="14" fontId="5" fillId="20" borderId="52" xfId="0" applyNumberFormat="1" applyFont="1" applyFill="1" applyBorder="1" applyAlignment="1" applyProtection="1">
      <alignment horizontal="left"/>
      <protection locked="0"/>
    </xf>
    <xf numFmtId="49" fontId="5" fillId="20" borderId="52" xfId="0" applyNumberFormat="1" applyFont="1" applyFill="1" applyBorder="1" applyAlignment="1" applyProtection="1">
      <alignment horizontal="left" shrinkToFit="1"/>
      <protection locked="0"/>
    </xf>
    <xf numFmtId="0" fontId="0" fillId="0" borderId="52" xfId="0" applyBorder="1" applyAlignment="1" applyProtection="1">
      <alignment horizontal="left" shrinkToFit="1"/>
      <protection locked="0"/>
    </xf>
    <xf numFmtId="0" fontId="9" fillId="0" borderId="83" xfId="0" applyFont="1" applyFill="1" applyBorder="1" applyAlignment="1">
      <alignment vertical="center"/>
    </xf>
    <xf numFmtId="3" fontId="7" fillId="0" borderId="97" xfId="0" applyNumberFormat="1" applyFont="1" applyFill="1" applyBorder="1" applyAlignment="1">
      <alignment vertical="center"/>
    </xf>
    <xf numFmtId="3" fontId="7" fillId="0" borderId="98" xfId="0" applyNumberFormat="1" applyFont="1" applyFill="1" applyBorder="1" applyAlignment="1">
      <alignment vertical="center"/>
    </xf>
    <xf numFmtId="3" fontId="7" fillId="0" borderId="97" xfId="0" applyNumberFormat="1" applyFont="1" applyFill="1" applyBorder="1" applyAlignment="1" applyProtection="1">
      <alignment vertical="center"/>
    </xf>
    <xf numFmtId="0" fontId="9" fillId="0" borderId="98" xfId="0" applyFont="1" applyFill="1" applyBorder="1" applyAlignment="1" applyProtection="1">
      <alignment vertical="center"/>
    </xf>
    <xf numFmtId="0" fontId="9" fillId="0" borderId="21" xfId="0" applyFont="1" applyFill="1" applyBorder="1" applyAlignment="1"/>
    <xf numFmtId="0" fontId="9" fillId="0" borderId="28" xfId="0" applyFont="1" applyFill="1" applyBorder="1" applyAlignment="1"/>
    <xf numFmtId="0" fontId="37" fillId="0" borderId="99" xfId="0" applyFont="1" applyBorder="1" applyAlignment="1">
      <alignment vertical="top" wrapText="1"/>
    </xf>
    <xf numFmtId="0" fontId="37" fillId="0" borderId="87" xfId="0" applyFont="1" applyBorder="1" applyAlignment="1">
      <alignment vertical="top" wrapText="1"/>
    </xf>
    <xf numFmtId="0" fontId="37" fillId="0" borderId="88" xfId="0" applyFont="1" applyBorder="1" applyAlignment="1">
      <alignment vertical="top" wrapText="1"/>
    </xf>
  </cellXfs>
  <cellStyles count="5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dbkatalog" xfId="27"/>
    <cellStyle name="DB-Katalog" xfId="28"/>
    <cellStyle name="Eingabe" xfId="29" builtinId="20" customBuiltin="1"/>
    <cellStyle name="Ergebnis" xfId="30" builtinId="25" customBuiltin="1"/>
    <cellStyle name="Erklärender Text" xfId="31" builtinId="53" customBuiltin="1"/>
    <cellStyle name="Gut" xfId="32" builtinId="26" customBuiltin="1"/>
    <cellStyle name="Komma" xfId="33" builtinId="3"/>
    <cellStyle name="Lien hypertexte" xfId="34"/>
    <cellStyle name="Lien hypertexte visité" xfId="35"/>
    <cellStyle name="Milliers [0]_2003 OFAG" xfId="36"/>
    <cellStyle name="Milliers_2003 OFAG" xfId="37"/>
    <cellStyle name="Monétaire [0]_2003 OFAG" xfId="38"/>
    <cellStyle name="Monétaire_2003 OFAG" xfId="39"/>
    <cellStyle name="Neutral" xfId="40" builtinId="28" customBuiltin="1"/>
    <cellStyle name="Normal_2003 MALITIUS" xfId="41"/>
    <cellStyle name="Notiz" xfId="42" builtinId="10" customBuiltin="1"/>
    <cellStyle name="Schlecht" xfId="43" builtinId="27" customBuiltin="1"/>
    <cellStyle name="Standard" xfId="0" builtinId="0"/>
    <cellStyle name="Standard_Bedienungshinweise" xfId="44"/>
    <cellStyle name="Überschrift" xfId="45" builtinId="15" customBuiltin="1"/>
    <cellStyle name="Überschrift 1" xfId="46" builtinId="16" customBuiltin="1"/>
    <cellStyle name="Überschrift 2" xfId="47" builtinId="17" customBuiltin="1"/>
    <cellStyle name="Überschrift 3" xfId="48" builtinId="18" customBuiltin="1"/>
    <cellStyle name="Überschrift 4" xfId="49" builtinId="19" customBuiltin="1"/>
    <cellStyle name="Verknüpfte Zelle" xfId="50" builtinId="24" customBuiltin="1"/>
    <cellStyle name="Warnender Text" xfId="51" builtinId="11" customBuiltin="1"/>
    <cellStyle name="Zelle überprüfen" xfId="52" builtinId="23"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D5FFFF"/>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dialogsheet" Target="dialogsheets/sheet2.xml"/><Relationship Id="rId40" Type="http://schemas.openxmlformats.org/officeDocument/2006/relationships/worksheet" Target="worksheets/sheet3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dialogsheet" Target="dialogsheets/sheet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Drop" dropLines="3" dropStyle="combo" dx="20" fmlaLink="A2e!$J$2" fmlaRange="Textes!$K$3:$K$5" noThreeD="1" val="0"/>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Drop" dropStyle="combo" dx="20" fmlaRange="Textes!$F$3:$F$4" noThreeD="1" sel="2" val="0"/>
</file>

<file path=xl/ctrlProps/ctrlProp3.xml><?xml version="1.0" encoding="utf-8"?>
<formControlPr xmlns="http://schemas.microsoft.com/office/spreadsheetml/2009/9/main" objectType="Drop" dropStyle="combo" dx="20" fmlaLink="Textes!$G$2" fmlaRange="Textes!$G$3:$G$7" noThreeD="1" sel="3" val="0"/>
</file>

<file path=xl/ctrlProps/ctrlProp4.xml><?xml version="1.0" encoding="utf-8"?>
<formControlPr xmlns="http://schemas.microsoft.com/office/spreadsheetml/2009/9/main" objectType="CheckBox" fmlaLink="$S$3" lockText="1" noThreeD="1"/>
</file>

<file path=xl/ctrlProps/ctrlProp5.xml><?xml version="1.0" encoding="utf-8"?>
<formControlPr xmlns="http://schemas.microsoft.com/office/spreadsheetml/2009/9/main" objectType="Label" fmlaTxbx="Textes!A23" lockText="1"/>
</file>

<file path=xl/ctrlProps/ctrlProp6.xml><?xml version="1.0" encoding="utf-8"?>
<formControlPr xmlns="http://schemas.microsoft.com/office/spreadsheetml/2009/9/main" objectType="Drop" dropLines="3" dropStyle="combo" dx="20" fmlaLink="A2a!$J$2" fmlaRange="Textes!$K$3:$K$5" noThreeD="1" val="0"/>
</file>

<file path=xl/ctrlProps/ctrlProp7.xml><?xml version="1.0" encoding="utf-8"?>
<formControlPr xmlns="http://schemas.microsoft.com/office/spreadsheetml/2009/9/main" objectType="Drop" dropLines="3" dropStyle="combo" dx="20" fmlaLink="A2b!$J$2" fmlaRange="Textes!$K$3:$K$5" noThreeD="1" val="0"/>
</file>

<file path=xl/ctrlProps/ctrlProp8.xml><?xml version="1.0" encoding="utf-8"?>
<formControlPr xmlns="http://schemas.microsoft.com/office/spreadsheetml/2009/9/main" objectType="Drop" dropLines="3" dropStyle="combo" dx="20" fmlaLink="A2c!$J$2" fmlaRange="Textes!$K$3:$K$5" noThreeD="1" val="0"/>
</file>

<file path=xl/ctrlProps/ctrlProp9.xml><?xml version="1.0" encoding="utf-8"?>
<formControlPr xmlns="http://schemas.microsoft.com/office/spreadsheetml/2009/9/main" objectType="Drop" dropLines="3" dropStyle="combo" dx="20" fmlaLink="A2d!$J$2" fmlaRange="Textes!$K$3:$K$5" noThreeD="1" val="0"/>
</file>

<file path=xl/dialogsheets/_rels/sheet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36.bin"/></Relationships>
</file>

<file path=xl/dialogsheets/_rels/sheet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37.bin"/></Relationships>
</file>

<file path=xl/dialogsheets/sheet1.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Views>
    <sheetView showRowColHeaders="0" showZeros="0" showOutlineSymbols="0" workbookViewId="0"/>
  </sheetViews>
  <sheetFormatPr baseColWidth="10" defaultColWidth="0.85546875" defaultRowHeight="4.9000000000000004" customHeight="1"/>
  <sheetProtection sheet="1"/>
  <pageMargins left="0.78740157499999996" right="0.78740157499999996" top="0.98425196900000012" bottom="0.98425196900000012" header="0.49212598450000006" footer="0.49212598450000006"/>
  <pageSetup paperSize="9" orientation="portrait" horizontalDpi="300" verticalDpi="300" r:id="rId1"/>
  <headerFooter alignWithMargins="0">
    <oddHeader>&amp;C&amp;A</oddHeader>
    <oddFooter>&amp;CSeite &amp;P</oddFooter>
  </headerFooter>
  <legacyDrawing r:id="rId2"/>
</dialogsheet>
</file>

<file path=xl/dialogsheets/sheet2.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Views>
    <sheetView showRowColHeaders="0" showZeros="0" showOutlineSymbols="0" workbookViewId="0"/>
  </sheetViews>
  <sheetFormatPr baseColWidth="10" defaultColWidth="0.85546875" defaultRowHeight="4.9000000000000004" customHeight="1"/>
  <sheetProtection sheet="1"/>
  <printOptions horizontalCentered="1" verticalCentered="1"/>
  <pageMargins left="0.62992125984251979" right="0.19685039370078738" top="0.39370078740157477" bottom="0.74803149606299213" header="0" footer="0.59055118110236215"/>
  <pageSetup paperSize="9" orientation="portrait" r:id="rId1"/>
  <headerFooter alignWithMargins="0">
    <oddFooter>&amp;L&amp;A&amp;CSeite &amp;P&amp;R&amp;F  &amp;D</oddFooter>
  </headerFooter>
  <legacyDrawing r:id="rId2"/>
</dialogsheet>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1" Type="http://schemas.openxmlformats.org/officeDocument/2006/relationships/image" Target="../media/image2.emf"/></Relationships>
</file>

<file path=xl/drawings/_rels/drawing28.xml.rels><?xml version="1.0" encoding="UTF-8" standalone="yes"?>
<Relationships xmlns="http://schemas.openxmlformats.org/package/2006/relationships"><Relationship Id="rId1" Type="http://schemas.openxmlformats.org/officeDocument/2006/relationships/image" Target="../media/image2.emf"/></Relationships>
</file>

<file path=xl/drawings/_rels/drawing29.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1</xdr:row>
      <xdr:rowOff>45720</xdr:rowOff>
    </xdr:from>
    <xdr:to>
      <xdr:col>2</xdr:col>
      <xdr:colOff>449580</xdr:colOff>
      <xdr:row>2</xdr:row>
      <xdr:rowOff>83820</xdr:rowOff>
    </xdr:to>
    <xdr:pic>
      <xdr:nvPicPr>
        <xdr:cNvPr id="30812"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144780"/>
          <a:ext cx="1463040" cy="42672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548640</xdr:colOff>
      <xdr:row>0</xdr:row>
      <xdr:rowOff>464820</xdr:rowOff>
    </xdr:to>
    <xdr:pic>
      <xdr:nvPicPr>
        <xdr:cNvPr id="8287"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238125</xdr:colOff>
          <xdr:row>1</xdr:row>
          <xdr:rowOff>85725</xdr:rowOff>
        </xdr:from>
        <xdr:to>
          <xdr:col>7</xdr:col>
          <xdr:colOff>904875</xdr:colOff>
          <xdr:row>2</xdr:row>
          <xdr:rowOff>47625</xdr:rowOff>
        </xdr:to>
        <xdr:sp macro="" textlink="">
          <xdr:nvSpPr>
            <xdr:cNvPr id="8196" name="cboAusbeute"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548640</xdr:colOff>
      <xdr:row>0</xdr:row>
      <xdr:rowOff>464820</xdr:rowOff>
    </xdr:to>
    <xdr:pic>
      <xdr:nvPicPr>
        <xdr:cNvPr id="9311"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238125</xdr:colOff>
          <xdr:row>1</xdr:row>
          <xdr:rowOff>85725</xdr:rowOff>
        </xdr:from>
        <xdr:to>
          <xdr:col>7</xdr:col>
          <xdr:colOff>904875</xdr:colOff>
          <xdr:row>2</xdr:row>
          <xdr:rowOff>47625</xdr:rowOff>
        </xdr:to>
        <xdr:sp macro="" textlink="">
          <xdr:nvSpPr>
            <xdr:cNvPr id="9220" name="cboAusbeute"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548640</xdr:colOff>
      <xdr:row>0</xdr:row>
      <xdr:rowOff>464820</xdr:rowOff>
    </xdr:to>
    <xdr:pic>
      <xdr:nvPicPr>
        <xdr:cNvPr id="10335"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238125</xdr:colOff>
          <xdr:row>1</xdr:row>
          <xdr:rowOff>85725</xdr:rowOff>
        </xdr:from>
        <xdr:to>
          <xdr:col>7</xdr:col>
          <xdr:colOff>904875</xdr:colOff>
          <xdr:row>2</xdr:row>
          <xdr:rowOff>47625</xdr:rowOff>
        </xdr:to>
        <xdr:sp macro="" textlink="">
          <xdr:nvSpPr>
            <xdr:cNvPr id="10244" name="cboAusbeute"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548640</xdr:colOff>
      <xdr:row>0</xdr:row>
      <xdr:rowOff>464820</xdr:rowOff>
    </xdr:to>
    <xdr:pic>
      <xdr:nvPicPr>
        <xdr:cNvPr id="11359"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238125</xdr:colOff>
          <xdr:row>1</xdr:row>
          <xdr:rowOff>76200</xdr:rowOff>
        </xdr:from>
        <xdr:to>
          <xdr:col>7</xdr:col>
          <xdr:colOff>904875</xdr:colOff>
          <xdr:row>2</xdr:row>
          <xdr:rowOff>38100</xdr:rowOff>
        </xdr:to>
        <xdr:sp macro="" textlink="">
          <xdr:nvSpPr>
            <xdr:cNvPr id="11268" name="cboAusbeute"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617220</xdr:colOff>
      <xdr:row>0</xdr:row>
      <xdr:rowOff>464820</xdr:rowOff>
    </xdr:to>
    <xdr:pic>
      <xdr:nvPicPr>
        <xdr:cNvPr id="12382"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617220</xdr:colOff>
      <xdr:row>0</xdr:row>
      <xdr:rowOff>464820</xdr:rowOff>
    </xdr:to>
    <xdr:pic>
      <xdr:nvPicPr>
        <xdr:cNvPr id="13406"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617220</xdr:colOff>
      <xdr:row>0</xdr:row>
      <xdr:rowOff>464820</xdr:rowOff>
    </xdr:to>
    <xdr:pic>
      <xdr:nvPicPr>
        <xdr:cNvPr id="14430"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617220</xdr:colOff>
      <xdr:row>0</xdr:row>
      <xdr:rowOff>464820</xdr:rowOff>
    </xdr:to>
    <xdr:pic>
      <xdr:nvPicPr>
        <xdr:cNvPr id="27740"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617220</xdr:colOff>
      <xdr:row>0</xdr:row>
      <xdr:rowOff>464820</xdr:rowOff>
    </xdr:to>
    <xdr:pic>
      <xdr:nvPicPr>
        <xdr:cNvPr id="39002"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617220</xdr:colOff>
      <xdr:row>0</xdr:row>
      <xdr:rowOff>464820</xdr:rowOff>
    </xdr:to>
    <xdr:pic>
      <xdr:nvPicPr>
        <xdr:cNvPr id="40022"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60960</xdr:colOff>
      <xdr:row>9</xdr:row>
      <xdr:rowOff>114300</xdr:rowOff>
    </xdr:from>
    <xdr:to>
      <xdr:col>11</xdr:col>
      <xdr:colOff>701040</xdr:colOff>
      <xdr:row>9</xdr:row>
      <xdr:rowOff>114300</xdr:rowOff>
    </xdr:to>
    <xdr:sp macro="" textlink="">
      <xdr:nvSpPr>
        <xdr:cNvPr id="33977" name="Line 2"/>
        <xdr:cNvSpPr>
          <a:spLocks noChangeShapeType="1"/>
        </xdr:cNvSpPr>
      </xdr:nvSpPr>
      <xdr:spPr bwMode="auto">
        <a:xfrm flipV="1">
          <a:off x="175260" y="2011680"/>
          <a:ext cx="93954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60960</xdr:colOff>
      <xdr:row>0</xdr:row>
      <xdr:rowOff>22860</xdr:rowOff>
    </xdr:from>
    <xdr:to>
      <xdr:col>2</xdr:col>
      <xdr:colOff>1150620</xdr:colOff>
      <xdr:row>0</xdr:row>
      <xdr:rowOff>449580</xdr:rowOff>
    </xdr:to>
    <xdr:pic>
      <xdr:nvPicPr>
        <xdr:cNvPr id="33978"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22860"/>
          <a:ext cx="1455420" cy="42672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28575</xdr:colOff>
          <xdr:row>89</xdr:row>
          <xdr:rowOff>114300</xdr:rowOff>
        </xdr:from>
        <xdr:to>
          <xdr:col>10</xdr:col>
          <xdr:colOff>76200</xdr:colOff>
          <xdr:row>90</xdr:row>
          <xdr:rowOff>171450</xdr:rowOff>
        </xdr:to>
        <xdr:sp macro="" textlink="">
          <xdr:nvSpPr>
            <xdr:cNvPr id="33796" name="Button 4" hidden="1">
              <a:extLst>
                <a:ext uri="{63B3BB69-23CF-44E3-9099-C40C66FF867C}">
                  <a14:compatExt spid="_x0000_s3379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e-CH" sz="1100" b="1" i="0" u="none" strike="noStrike" baseline="0">
                  <a:solidFill>
                    <a:srgbClr val="3366FF"/>
                  </a:solidFill>
                  <a:latin typeface="Arial"/>
                  <a:cs typeface="Arial"/>
                </a:rPr>
                <a:t>Zum Tabellenblatt "Inv" wechseln</a:t>
              </a:r>
            </a:p>
          </xdr:txBody>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617220</xdr:colOff>
      <xdr:row>0</xdr:row>
      <xdr:rowOff>464820</xdr:rowOff>
    </xdr:to>
    <xdr:pic>
      <xdr:nvPicPr>
        <xdr:cNvPr id="41046"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617220</xdr:colOff>
      <xdr:row>0</xdr:row>
      <xdr:rowOff>464820</xdr:rowOff>
    </xdr:to>
    <xdr:pic>
      <xdr:nvPicPr>
        <xdr:cNvPr id="42070"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617220</xdr:colOff>
      <xdr:row>0</xdr:row>
      <xdr:rowOff>464820</xdr:rowOff>
    </xdr:to>
    <xdr:pic>
      <xdr:nvPicPr>
        <xdr:cNvPr id="15454"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617220</xdr:colOff>
      <xdr:row>0</xdr:row>
      <xdr:rowOff>464820</xdr:rowOff>
    </xdr:to>
    <xdr:pic>
      <xdr:nvPicPr>
        <xdr:cNvPr id="43094"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617220</xdr:colOff>
      <xdr:row>0</xdr:row>
      <xdr:rowOff>464820</xdr:rowOff>
    </xdr:to>
    <xdr:pic>
      <xdr:nvPicPr>
        <xdr:cNvPr id="16478"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449580</xdr:colOff>
      <xdr:row>0</xdr:row>
      <xdr:rowOff>464820</xdr:rowOff>
    </xdr:to>
    <xdr:pic>
      <xdr:nvPicPr>
        <xdr:cNvPr id="17512"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1478280</xdr:colOff>
      <xdr:row>0</xdr:row>
      <xdr:rowOff>464820</xdr:rowOff>
    </xdr:to>
    <xdr:pic>
      <xdr:nvPicPr>
        <xdr:cNvPr id="18528"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99060</xdr:colOff>
      <xdr:row>0</xdr:row>
      <xdr:rowOff>30480</xdr:rowOff>
    </xdr:from>
    <xdr:to>
      <xdr:col>3</xdr:col>
      <xdr:colOff>419100</xdr:colOff>
      <xdr:row>1</xdr:row>
      <xdr:rowOff>411480</xdr:rowOff>
    </xdr:to>
    <xdr:pic>
      <xdr:nvPicPr>
        <xdr:cNvPr id="20576"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940" y="30480"/>
          <a:ext cx="1478280" cy="44196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5</xdr:col>
          <xdr:colOff>304800</xdr:colOff>
          <xdr:row>1</xdr:row>
          <xdr:rowOff>85725</xdr:rowOff>
        </xdr:from>
        <xdr:to>
          <xdr:col>8</xdr:col>
          <xdr:colOff>304800</xdr:colOff>
          <xdr:row>1</xdr:row>
          <xdr:rowOff>447675</xdr:rowOff>
        </xdr:to>
        <xdr:sp macro="" textlink="">
          <xdr:nvSpPr>
            <xdr:cNvPr id="20481" name="Butt Aktualisieren" hidden="1">
              <a:extLst>
                <a:ext uri="{63B3BB69-23CF-44E3-9099-C40C66FF867C}">
                  <a14:compatExt spid="_x0000_s204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Zu- und Verkäufe nach A1a und A2a übertragen</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dr:twoCellAnchor editAs="oneCell">
    <xdr:from>
      <xdr:col>1</xdr:col>
      <xdr:colOff>99060</xdr:colOff>
      <xdr:row>0</xdr:row>
      <xdr:rowOff>30480</xdr:rowOff>
    </xdr:from>
    <xdr:to>
      <xdr:col>3</xdr:col>
      <xdr:colOff>419100</xdr:colOff>
      <xdr:row>1</xdr:row>
      <xdr:rowOff>411480</xdr:rowOff>
    </xdr:to>
    <xdr:pic>
      <xdr:nvPicPr>
        <xdr:cNvPr id="28766"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940" y="30480"/>
          <a:ext cx="1478280" cy="44196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5</xdr:col>
          <xdr:colOff>304800</xdr:colOff>
          <xdr:row>1</xdr:row>
          <xdr:rowOff>85725</xdr:rowOff>
        </xdr:from>
        <xdr:to>
          <xdr:col>8</xdr:col>
          <xdr:colOff>304800</xdr:colOff>
          <xdr:row>1</xdr:row>
          <xdr:rowOff>447675</xdr:rowOff>
        </xdr:to>
        <xdr:sp macro="" textlink="">
          <xdr:nvSpPr>
            <xdr:cNvPr id="28675" name="Butt Aktualisieren" hidden="1">
              <a:extLst>
                <a:ext uri="{63B3BB69-23CF-44E3-9099-C40C66FF867C}">
                  <a14:compatExt spid="_x0000_s286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Zu- und Verkäufe nach A1b und A2b übertragen</a:t>
              </a:r>
            </a:p>
          </xdr:txBody>
        </xdr:sp>
        <xdr:clientData fPrintsWithSheet="0"/>
      </xdr:twoCellAnchor>
    </mc:Choice>
    <mc:Fallback/>
  </mc:AlternateContent>
</xdr:wsDr>
</file>

<file path=xl/drawings/drawing29.xml><?xml version="1.0" encoding="utf-8"?>
<xdr:wsDr xmlns:xdr="http://schemas.openxmlformats.org/drawingml/2006/spreadsheetDrawing" xmlns:a="http://schemas.openxmlformats.org/drawingml/2006/main">
  <xdr:twoCellAnchor editAs="oneCell">
    <xdr:from>
      <xdr:col>1</xdr:col>
      <xdr:colOff>99060</xdr:colOff>
      <xdr:row>0</xdr:row>
      <xdr:rowOff>30480</xdr:rowOff>
    </xdr:from>
    <xdr:to>
      <xdr:col>3</xdr:col>
      <xdr:colOff>419100</xdr:colOff>
      <xdr:row>1</xdr:row>
      <xdr:rowOff>411480</xdr:rowOff>
    </xdr:to>
    <xdr:pic>
      <xdr:nvPicPr>
        <xdr:cNvPr id="29790"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940" y="30480"/>
          <a:ext cx="1478280" cy="44196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5</xdr:col>
          <xdr:colOff>304800</xdr:colOff>
          <xdr:row>1</xdr:row>
          <xdr:rowOff>85725</xdr:rowOff>
        </xdr:from>
        <xdr:to>
          <xdr:col>8</xdr:col>
          <xdr:colOff>304800</xdr:colOff>
          <xdr:row>1</xdr:row>
          <xdr:rowOff>447675</xdr:rowOff>
        </xdr:to>
        <xdr:sp macro="" textlink="">
          <xdr:nvSpPr>
            <xdr:cNvPr id="29699" name="Butt Aktualisieren" hidden="1">
              <a:extLst>
                <a:ext uri="{63B3BB69-23CF-44E3-9099-C40C66FF867C}">
                  <a14:compatExt spid="_x0000_s296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Zu- und Verkäufe nach A1c und A2c übertragen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3</xdr:col>
      <xdr:colOff>266700</xdr:colOff>
      <xdr:row>0</xdr:row>
      <xdr:rowOff>464820</xdr:rowOff>
    </xdr:to>
    <xdr:pic>
      <xdr:nvPicPr>
        <xdr:cNvPr id="1130"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1019175</xdr:colOff>
          <xdr:row>0</xdr:row>
          <xdr:rowOff>495300</xdr:rowOff>
        </xdr:from>
        <xdr:to>
          <xdr:col>4</xdr:col>
          <xdr:colOff>561975</xdr:colOff>
          <xdr:row>2</xdr:row>
          <xdr:rowOff>95250</xdr:rowOff>
        </xdr:to>
        <xdr:sp macro="" textlink="">
          <xdr:nvSpPr>
            <xdr:cNvPr id="1035" name="cboSprache" hidden="1">
              <a:extLst>
                <a:ext uri="{63B3BB69-23CF-44E3-9099-C40C66FF867C}">
                  <a14:compatExt spid="_x0000_s103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0</xdr:row>
          <xdr:rowOff>495300</xdr:rowOff>
        </xdr:from>
        <xdr:to>
          <xdr:col>7</xdr:col>
          <xdr:colOff>628650</xdr:colOff>
          <xdr:row>2</xdr:row>
          <xdr:rowOff>104775</xdr:rowOff>
        </xdr:to>
        <xdr:sp macro="" textlink="">
          <xdr:nvSpPr>
            <xdr:cNvPr id="1036" name="cboTierart" hidden="1">
              <a:extLst>
                <a:ext uri="{63B3BB69-23CF-44E3-9099-C40C66FF867C}">
                  <a14:compatExt spid="_x0000_s103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0</xdr:row>
          <xdr:rowOff>485775</xdr:rowOff>
        </xdr:from>
        <xdr:to>
          <xdr:col>9</xdr:col>
          <xdr:colOff>352425</xdr:colOff>
          <xdr:row>2</xdr:row>
          <xdr:rowOff>104775</xdr:rowOff>
        </xdr:to>
        <xdr:sp macro="" textlink="">
          <xdr:nvSpPr>
            <xdr:cNvPr id="1057" name="chk_FuttermittelErweitert" hidden="1">
              <a:extLst>
                <a:ext uri="{63B3BB69-23CF-44E3-9099-C40C66FF867C}">
                  <a14:compatExt spid="_x0000_s105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xdr:row>
          <xdr:rowOff>9525</xdr:rowOff>
        </xdr:from>
        <xdr:to>
          <xdr:col>21</xdr:col>
          <xdr:colOff>371475</xdr:colOff>
          <xdr:row>2</xdr:row>
          <xdr:rowOff>123825</xdr:rowOff>
        </xdr:to>
        <xdr:sp macro="" textlink="">
          <xdr:nvSpPr>
            <xdr:cNvPr id="1059" name="lblFuttermittelErweitern"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de-CH" sz="800" b="0" i="0" u="none" strike="noStrike" baseline="0">
                  <a:solidFill>
                    <a:srgbClr val="000000"/>
                  </a:solidFill>
                  <a:latin typeface="Tahoma"/>
                  <a:ea typeface="Tahoma"/>
                  <a:cs typeface="Tahoma"/>
                </a:rPr>
                <a:t>Futtermittel erweitern</a:t>
              </a:r>
            </a:p>
          </xdr:txBody>
        </xdr:sp>
        <xdr:clientData fPrintsWithSheet="0"/>
      </xdr:twoCellAnchor>
    </mc:Choice>
    <mc:Fallback/>
  </mc:AlternateContent>
</xdr:wsDr>
</file>

<file path=xl/drawings/drawing30.xml><?xml version="1.0" encoding="utf-8"?>
<xdr:wsDr xmlns:xdr="http://schemas.openxmlformats.org/drawingml/2006/spreadsheetDrawing" xmlns:a="http://schemas.openxmlformats.org/drawingml/2006/main">
  <xdr:twoCellAnchor editAs="oneCell">
    <xdr:from>
      <xdr:col>1</xdr:col>
      <xdr:colOff>99060</xdr:colOff>
      <xdr:row>0</xdr:row>
      <xdr:rowOff>30480</xdr:rowOff>
    </xdr:from>
    <xdr:to>
      <xdr:col>2</xdr:col>
      <xdr:colOff>1158240</xdr:colOff>
      <xdr:row>0</xdr:row>
      <xdr:rowOff>464820</xdr:rowOff>
    </xdr:to>
    <xdr:pic>
      <xdr:nvPicPr>
        <xdr:cNvPr id="26716"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411480</xdr:colOff>
      <xdr:row>0</xdr:row>
      <xdr:rowOff>464820</xdr:rowOff>
    </xdr:to>
    <xdr:pic>
      <xdr:nvPicPr>
        <xdr:cNvPr id="2142"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411480</xdr:colOff>
      <xdr:row>0</xdr:row>
      <xdr:rowOff>464820</xdr:rowOff>
    </xdr:to>
    <xdr:pic>
      <xdr:nvPicPr>
        <xdr:cNvPr id="3166"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411480</xdr:colOff>
      <xdr:row>0</xdr:row>
      <xdr:rowOff>464820</xdr:rowOff>
    </xdr:to>
    <xdr:pic>
      <xdr:nvPicPr>
        <xdr:cNvPr id="4190"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411480</xdr:colOff>
      <xdr:row>0</xdr:row>
      <xdr:rowOff>464820</xdr:rowOff>
    </xdr:to>
    <xdr:pic>
      <xdr:nvPicPr>
        <xdr:cNvPr id="5214"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411480</xdr:colOff>
      <xdr:row>0</xdr:row>
      <xdr:rowOff>464820</xdr:rowOff>
    </xdr:to>
    <xdr:pic>
      <xdr:nvPicPr>
        <xdr:cNvPr id="6238"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548640</xdr:colOff>
      <xdr:row>0</xdr:row>
      <xdr:rowOff>464820</xdr:rowOff>
    </xdr:to>
    <xdr:pic>
      <xdr:nvPicPr>
        <xdr:cNvPr id="7265" nam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0480"/>
          <a:ext cx="1478280" cy="43434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238125</xdr:colOff>
          <xdr:row>1</xdr:row>
          <xdr:rowOff>85725</xdr:rowOff>
        </xdr:from>
        <xdr:to>
          <xdr:col>7</xdr:col>
          <xdr:colOff>904875</xdr:colOff>
          <xdr:row>2</xdr:row>
          <xdr:rowOff>47625</xdr:rowOff>
        </xdr:to>
        <xdr:sp macro="" textlink="">
          <xdr:nvSpPr>
            <xdr:cNvPr id="7174" name="cboAusbeute"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trlProp" Target="../ctrlProps/ctrlProp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trlProp" Target="../ctrlProps/ctrlProp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trlProp" Target="../ctrlProps/ctrlProp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trlProp" Target="../ctrlProps/ctrlProp1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trlProp" Target="../ctrlProps/ctrlProp11.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8.xml"/><Relationship Id="rId1" Type="http://schemas.openxmlformats.org/officeDocument/2006/relationships/printerSettings" Target="../printerSettings/printerSettings29.bin"/><Relationship Id="rId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trlProp" Target="../ctrlProps/ctrlProp13.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G67"/>
  <sheetViews>
    <sheetView showRowColHeaders="0" showZeros="0" zoomScaleNormal="100" workbookViewId="0">
      <selection activeCell="C49" sqref="C49"/>
    </sheetView>
  </sheetViews>
  <sheetFormatPr baseColWidth="10" defaultRowHeight="12.75"/>
  <cols>
    <col min="1" max="1" width="30.85546875" customWidth="1"/>
    <col min="2" max="2" width="13.42578125" customWidth="1"/>
    <col min="5" max="5" width="32.42578125" bestFit="1" customWidth="1"/>
    <col min="6" max="6" width="30.7109375" bestFit="1" customWidth="1"/>
    <col min="7" max="7" width="32.42578125" bestFit="1" customWidth="1"/>
  </cols>
  <sheetData>
    <row r="2" spans="1:7">
      <c r="A2" t="s">
        <v>399</v>
      </c>
      <c r="B2" t="s">
        <v>400</v>
      </c>
      <c r="C2" s="379">
        <v>2.6</v>
      </c>
      <c r="D2" s="341">
        <v>42320</v>
      </c>
    </row>
    <row r="5" spans="1:7" ht="18">
      <c r="A5" s="349" t="s">
        <v>401</v>
      </c>
      <c r="E5" s="586" t="s">
        <v>75</v>
      </c>
    </row>
    <row r="6" spans="1:7">
      <c r="A6" s="350" t="str">
        <f>Info!L1</f>
        <v>Bedienungsanleitung</v>
      </c>
      <c r="E6" t="str">
        <f>IF(Textes!F$2=1,F6,IF(Textes!F$2=2,G6,IF(Textes!F$2=3,D38,"")))</f>
        <v>&amp;Zeilen</v>
      </c>
      <c r="F6" t="s">
        <v>404</v>
      </c>
      <c r="G6" t="s">
        <v>405</v>
      </c>
    </row>
    <row r="7" spans="1:7">
      <c r="A7" s="350" t="str">
        <f>Inv!K1</f>
        <v>Anfangs-/Endinventar</v>
      </c>
      <c r="E7" t="str">
        <f>IF(Textes!F$2=1,F7,IF(Textes!F$2=2,G7,IF(Textes!F$2=3,D39,"")))</f>
        <v>Zeile &amp;einfügen</v>
      </c>
      <c r="F7" t="s">
        <v>406</v>
      </c>
      <c r="G7" t="s">
        <v>407</v>
      </c>
    </row>
    <row r="8" spans="1:7">
      <c r="A8" s="350" t="str">
        <f>A1a!G1</f>
        <v xml:space="preserve">A1a: Tiereingang </v>
      </c>
      <c r="E8" t="str">
        <f>IF(Textes!F$2=1,F8,IF(Textes!F$2=2,G8,IF(Textes!F$2=3,D40,"")))</f>
        <v>&amp;Mehrere Zeilen einfügen</v>
      </c>
      <c r="F8" t="s">
        <v>408</v>
      </c>
      <c r="G8" t="s">
        <v>409</v>
      </c>
    </row>
    <row r="9" spans="1:7">
      <c r="A9" s="350" t="str">
        <f>A1b!G1</f>
        <v xml:space="preserve">A1b: Tiereingang </v>
      </c>
      <c r="E9" t="str">
        <f>IF(Textes!F$2=1,F9,IF(Textes!F$2=2,G9,IF(Textes!F$2=3,D41,"")))</f>
        <v>Markierte Zeilen &amp;löschen</v>
      </c>
      <c r="F9" t="s">
        <v>410</v>
      </c>
      <c r="G9" t="s">
        <v>411</v>
      </c>
    </row>
    <row r="10" spans="1:7">
      <c r="A10" s="350" t="str">
        <f>A1c!G1</f>
        <v xml:space="preserve">A1c: Tiereingang </v>
      </c>
      <c r="E10" t="str">
        <f>IF(Textes!F$2=1,F10,IF(Textes!F$2=2,G10,IF(Textes!F$2=3,D42,"")))</f>
        <v>Markierte Zeilen &amp;ausschneiden</v>
      </c>
      <c r="F10" t="s">
        <v>412</v>
      </c>
      <c r="G10" t="s">
        <v>413</v>
      </c>
    </row>
    <row r="11" spans="1:7">
      <c r="A11" s="350" t="str">
        <f>A1d!G1</f>
        <v xml:space="preserve">A1d: Tiereingang </v>
      </c>
      <c r="E11" t="str">
        <f>IF(Textes!F$2=1,F11,IF(Textes!F$2=2,G11,IF(Textes!F$2=3,D43,"")))</f>
        <v>Ausgeschnittene Zeilen &amp;verschieben</v>
      </c>
      <c r="F11" t="s">
        <v>414</v>
      </c>
      <c r="G11" t="s">
        <v>415</v>
      </c>
    </row>
    <row r="12" spans="1:7">
      <c r="A12" s="350" t="str">
        <f>A1e!G1</f>
        <v xml:space="preserve">A1e: Tiereingang </v>
      </c>
      <c r="E12" t="str">
        <f>IF(Textes!F$2=1,F12,IF(Textes!F$2=2,G12,IF(Textes!F$2=3,D44,"")))</f>
        <v>Tabe&amp;llenblätter</v>
      </c>
      <c r="F12" t="s">
        <v>77</v>
      </c>
      <c r="G12" t="s">
        <v>76</v>
      </c>
    </row>
    <row r="13" spans="1:7">
      <c r="A13" s="351" t="str">
        <f>A2a!H1</f>
        <v>A2a: Tierausgang</v>
      </c>
      <c r="E13" t="str">
        <f>IF(Textes!F$2=1,F13,IF(Textes!F$2=2,G13,IF(Textes!F$2=3,D45,"")))</f>
        <v>&amp;auswählen</v>
      </c>
      <c r="F13" t="s">
        <v>79</v>
      </c>
      <c r="G13" t="s">
        <v>78</v>
      </c>
    </row>
    <row r="14" spans="1:7">
      <c r="A14" s="351" t="str">
        <f>A2b!H1</f>
        <v>A2b: Tierausgang</v>
      </c>
      <c r="E14" t="str">
        <f>IF(Textes!F$2=1,F14,IF(Textes!F$2=2,G14,IF(Textes!F$2=3,D46,"")))</f>
        <v>&amp;drucken</v>
      </c>
      <c r="F14" t="s">
        <v>83</v>
      </c>
      <c r="G14" t="s">
        <v>80</v>
      </c>
    </row>
    <row r="15" spans="1:7">
      <c r="A15" s="351" t="str">
        <f>A2c!H1</f>
        <v>A2c: Tierausgang</v>
      </c>
    </row>
    <row r="16" spans="1:7" ht="15.75">
      <c r="A16" s="351" t="str">
        <f>A2d!H1</f>
        <v>A2d: Tierausgang</v>
      </c>
      <c r="E16" s="588" t="s">
        <v>84</v>
      </c>
    </row>
    <row r="17" spans="1:7">
      <c r="A17" s="351" t="str">
        <f>A2e!H1</f>
        <v>A2e: Tierausgang</v>
      </c>
      <c r="E17" t="str">
        <f>IF(Textes!F$2=1,F17,IF(Textes!F$2=2,G17,IF(Textes!F$2=3,D44,"")))</f>
        <v>Mehrfachmarkierung nicht erlaubt!</v>
      </c>
      <c r="F17" t="s">
        <v>416</v>
      </c>
      <c r="G17" t="s">
        <v>417</v>
      </c>
    </row>
    <row r="18" spans="1:7">
      <c r="A18" s="350" t="str">
        <f>'B1'!I1</f>
        <v>B1: Mischfutterzufuhr</v>
      </c>
      <c r="E18" t="str">
        <f>IF(Textes!F$2=1,F18,IF(Textes!F$2=2,G18,IF(Textes!F$2=3,D45,"")))</f>
        <v>Anzahl Zeilen</v>
      </c>
      <c r="F18" t="s">
        <v>418</v>
      </c>
      <c r="G18" t="s">
        <v>419</v>
      </c>
    </row>
    <row r="19" spans="1:7">
      <c r="A19" s="350" t="str">
        <f>'B2'!I1</f>
        <v>B2: Mischfutterzufuhr</v>
      </c>
      <c r="E19" t="str">
        <f>IF(Textes!F$2=1,F19,IF(Textes!F$2=2,G19,IF(Textes!F$2=3,D46,"")))</f>
        <v>Zeilen einfügen</v>
      </c>
      <c r="F19" t="s">
        <v>420</v>
      </c>
      <c r="G19" t="s">
        <v>421</v>
      </c>
    </row>
    <row r="20" spans="1:7">
      <c r="A20" s="350" t="str">
        <f>'B3'!I1</f>
        <v>B3: Mischfutterzufuhr</v>
      </c>
      <c r="E20" t="str">
        <f>IF(Textes!F$2=1,F20,IF(Textes!F$2=2,G20,IF(Textes!F$2=3,D47,"")))</f>
        <v>Auf diesem Blatt können keine Zeilen eingefügt werden</v>
      </c>
      <c r="F20" t="s">
        <v>319</v>
      </c>
      <c r="G20" t="s">
        <v>422</v>
      </c>
    </row>
    <row r="21" spans="1:7">
      <c r="A21" s="350" t="str">
        <f>'B4'!I1</f>
        <v>B4: Mischfutterzufuhr</v>
      </c>
      <c r="E21" t="str">
        <f>IF(Textes!F$2=1,F21,IF(Textes!F$2=2,G21,IF(Textes!F$2=3,D48,"")))</f>
        <v>Zum Einfügen darf nur eine Zeile ausgewählt sein!</v>
      </c>
      <c r="F21" t="s">
        <v>320</v>
      </c>
      <c r="G21" t="s">
        <v>423</v>
      </c>
    </row>
    <row r="22" spans="1:7">
      <c r="A22" s="350" t="str">
        <f>'BX1'!I1</f>
        <v>BX1: Mischfutterzufuhr</v>
      </c>
      <c r="E22" t="str">
        <f>IF(Textes!F$2=1,F22,IF(Textes!F$2=2,G22,IF(Textes!F$2=3,D49,"")))</f>
        <v>Hier können keine Zeilen eingefügt werden!</v>
      </c>
      <c r="F22" t="s">
        <v>321</v>
      </c>
      <c r="G22" t="s">
        <v>424</v>
      </c>
    </row>
    <row r="23" spans="1:7">
      <c r="A23" s="350" t="str">
        <f>'BX2'!I1</f>
        <v>BX2: Mischfutterzufuhr</v>
      </c>
      <c r="E23" t="str">
        <f>IF(Textes!F$2=1,F23,IF(Textes!F$2=2,G23,IF(Textes!F$2=3,D50,"")))</f>
        <v>Auf diesem Blatt können keine Zeilen gelöscht werden</v>
      </c>
      <c r="F23" t="s">
        <v>322</v>
      </c>
      <c r="G23" t="s">
        <v>425</v>
      </c>
    </row>
    <row r="24" spans="1:7">
      <c r="A24" s="350" t="str">
        <f>'BX3'!I1</f>
        <v>BX3: Mischfutterzufuhr</v>
      </c>
      <c r="E24" t="str">
        <f>IF(Textes!F$2=1,F24,IF(Textes!F$2=2,G24,IF(Textes!F$2=3,D51,"")))</f>
        <v>Der markierte Bereich enthält Zeilen, die nicht gelöscht werden dürfen!</v>
      </c>
      <c r="F24" t="s">
        <v>323</v>
      </c>
      <c r="G24" t="s">
        <v>426</v>
      </c>
    </row>
    <row r="25" spans="1:7">
      <c r="A25" s="350" t="str">
        <f>'BX4'!I1</f>
        <v>BX4: Mischfutterzufuhr</v>
      </c>
      <c r="E25" t="str">
        <f>IF(Textes!F$2=1,F25,IF(Textes!F$2=2,G25,IF(Textes!F$2=3,D52,"")))</f>
        <v>Auf diesem Blatt können keine Zeilen ausgeschnitten werden</v>
      </c>
      <c r="F25" t="s">
        <v>328</v>
      </c>
      <c r="G25" t="s">
        <v>427</v>
      </c>
    </row>
    <row r="26" spans="1:7">
      <c r="A26" s="350" t="str">
        <f>'B5'!I1</f>
        <v>B5: Futterzufuhr</v>
      </c>
      <c r="E26" t="str">
        <f>IF(Textes!F$2=1,F26,IF(Textes!F$2=2,G26,IF(Textes!F$2=3,D53,"")))</f>
        <v>Der markierte Bereich enthält Zeilen, die nicht verschoben werden dürfen!</v>
      </c>
      <c r="F26" t="s">
        <v>329</v>
      </c>
      <c r="G26" t="s">
        <v>434</v>
      </c>
    </row>
    <row r="27" spans="1:7">
      <c r="A27" s="350" t="str">
        <f>'BX5'!I1</f>
        <v>BX5: Futterzufuhr</v>
      </c>
      <c r="E27" t="str">
        <f>IF(Textes!F$2=1,F27,IF(Textes!F$2=2,G27,IF(Textes!F$2=3,D54,"")))</f>
        <v>Verschieben darf nicht durch eine andere Operation unterbrochen werden!</v>
      </c>
      <c r="F27" t="s">
        <v>330</v>
      </c>
      <c r="G27" t="s">
        <v>435</v>
      </c>
    </row>
    <row r="28" spans="1:7">
      <c r="A28" s="352" t="str">
        <f>'B6'!I1</f>
        <v>B6: Futterzufuhr</v>
      </c>
      <c r="E28" t="str">
        <f>IF(Textes!F$2=1,F28,IF(Textes!F$2=2,G28,IF(Textes!F$2=3,D55,"")))</f>
        <v>Die Zeilen können nicht in ein anderes Blatt eingefügt werden!</v>
      </c>
      <c r="F28" t="s">
        <v>331</v>
      </c>
      <c r="G28" t="s">
        <v>436</v>
      </c>
    </row>
    <row r="29" spans="1:7">
      <c r="A29" s="351" t="str">
        <f>Impex!L1</f>
        <v>Import/Exportbilanz</v>
      </c>
      <c r="E29" t="str">
        <f>IF(Textes!F$2=1,F29,IF(Textes!F$2=2,G29,IF(Textes!F$2=3,D56,"")))</f>
        <v>Hier können die ausgeschnittenen Zeilen nicht eingefügt werden!</v>
      </c>
      <c r="F29" t="s">
        <v>332</v>
      </c>
      <c r="G29" t="s">
        <v>437</v>
      </c>
    </row>
    <row r="30" spans="1:7">
      <c r="A30" s="351" t="str">
        <f>Plausi!K1</f>
        <v>Berechnung der Tiefstwerte</v>
      </c>
      <c r="E30" t="str">
        <f>IF(Textes!F$2=1,F30,IF(Textes!F$2=2,G30,IF(Textes!F$2=3,D57,"")))</f>
        <v xml:space="preserve">fertigestellt am </v>
      </c>
      <c r="F30" t="s">
        <v>795</v>
      </c>
      <c r="G30" t="s">
        <v>796</v>
      </c>
    </row>
    <row r="31" spans="1:7">
      <c r="A31" s="351" t="str">
        <f>Poulet1!L2</f>
        <v>Stall 1</v>
      </c>
      <c r="E31" t="str">
        <f>IF(Textes!F$2=1,F31,IF(Textes!F$2=2,G31,IF(Textes!F$2=3,D58,"")))</f>
        <v>Bei dieser Aktion werden alle in den Zielblättern</v>
      </c>
      <c r="F31" t="s">
        <v>48</v>
      </c>
      <c r="G31" t="s">
        <v>5</v>
      </c>
    </row>
    <row r="32" spans="1:7">
      <c r="A32" s="351" t="str">
        <f>Poulet2!L2</f>
        <v>Stall 2</v>
      </c>
      <c r="E32" t="str">
        <f>IF(Textes!F$2=1,F32,IF(Textes!F$2=2,G32,IF(Textes!F$2=3,D59,"")))</f>
        <v>schon vorhandenen Daten überschrieben.</v>
      </c>
      <c r="F32" s="575" t="s">
        <v>333</v>
      </c>
      <c r="G32" t="s">
        <v>6</v>
      </c>
    </row>
    <row r="33" spans="1:7">
      <c r="A33" s="351" t="str">
        <f>Poulet3!L2</f>
        <v>Stall 3</v>
      </c>
      <c r="E33" t="str">
        <f>IF(Textes!F$2=1,F33,IF(Textes!F$2=2,G33,IF(Textes!F$2=3,D60,"")))</f>
        <v>Wollen Sie fortfahren?</v>
      </c>
      <c r="F33" t="s">
        <v>340</v>
      </c>
      <c r="G33" t="s">
        <v>7</v>
      </c>
    </row>
    <row r="34" spans="1:7">
      <c r="A34" s="351" t="str">
        <f>Poulet_tot!H1</f>
        <v>Poulets Zusammenfassung</v>
      </c>
      <c r="E34" t="str">
        <f>IF(Textes!F$2=1,F34,IF(Textes!F$2=2,G34,IF(Textes!F$2=3,D61,"")))</f>
        <v>Passwort ungültig</v>
      </c>
      <c r="F34" t="s">
        <v>11</v>
      </c>
      <c r="G34" t="s">
        <v>8</v>
      </c>
    </row>
    <row r="35" spans="1:7">
      <c r="A35" s="351" t="str">
        <f>Reserve!A1</f>
        <v>Reserve</v>
      </c>
      <c r="E35" t="str">
        <f>IF(Textes!F$2=1,F35,IF(Textes!F$2=2,G35,IF(Textes!F$2=3,D62,"")))</f>
        <v>Warnung</v>
      </c>
      <c r="F35" t="s">
        <v>10</v>
      </c>
      <c r="G35" t="s">
        <v>9</v>
      </c>
    </row>
    <row r="36" spans="1:7">
      <c r="A36" s="351" t="str">
        <f>Faktoren!E2</f>
        <v>Umrechnungsfaktoren</v>
      </c>
      <c r="E36" t="str">
        <f>IF(Textes!F$2=1,F36,IF(Textes!F$2=2,G36,IF(Textes!F$2=3,D63,"")))</f>
        <v>Sie müssen zuerst den Beginn und Ende des Kontrolljahres eintragen!</v>
      </c>
      <c r="F36" t="s">
        <v>334</v>
      </c>
      <c r="G36" t="s">
        <v>37</v>
      </c>
    </row>
    <row r="37" spans="1:7">
      <c r="A37" s="351" t="str">
        <f>Textes!A1</f>
        <v>Texte</v>
      </c>
      <c r="E37" t="str">
        <f>IF(Textes!F$2=1,F37,IF(Textes!F$2=2,G37,IF(Textes!F$2=3,D64,"")))</f>
        <v>Das Anfangsdatum muss der 1. Januar sein!</v>
      </c>
      <c r="F37" s="575" t="s">
        <v>335</v>
      </c>
      <c r="G37" t="s">
        <v>61</v>
      </c>
    </row>
    <row r="38" spans="1:7">
      <c r="A38" s="351" t="str">
        <f>Corr!D1</f>
        <v>Anpassungen</v>
      </c>
      <c r="E38" t="str">
        <f>IF(Textes!F$2=1,F38,IF(Textes!F$2=2,G38,IF(Textes!F$2=3,D65,"")))</f>
        <v>Das Enddatum muss der 31. Dezember sein!</v>
      </c>
      <c r="F38" s="575" t="s">
        <v>336</v>
      </c>
      <c r="G38" t="s">
        <v>62</v>
      </c>
    </row>
    <row r="39" spans="1:7">
      <c r="A39" s="353" t="str">
        <f>Dblatt!B16</f>
        <v>Inhaltsverzeichnis</v>
      </c>
      <c r="E39" t="str">
        <f>IF(Textes!F$2=1,F39,IF(Textes!F$2=2,G39,IF(Textes!F$2=3,D66,"")))</f>
        <v>Das Jahr des Anfangs- und des Enddatums muss gleich sein!</v>
      </c>
      <c r="F39" s="575" t="s">
        <v>338</v>
      </c>
      <c r="G39" t="s">
        <v>63</v>
      </c>
    </row>
    <row r="40" spans="1:7">
      <c r="A40" s="355"/>
      <c r="E40" t="str">
        <f>IF(Textes!F$2=1,F40,IF(Textes!F$2=2,G40,IF(Textes!F$2=3,D67,"")))</f>
        <v>Das Kontrolljahr und das Jahr</v>
      </c>
      <c r="F40" t="s">
        <v>59</v>
      </c>
      <c r="G40" t="s">
        <v>56</v>
      </c>
    </row>
    <row r="41" spans="1:7">
      <c r="A41" s="355"/>
      <c r="E41" t="str">
        <f>IF(Textes!F$2=1,F41,IF(Textes!F$2=2,G41,IF(Textes!F$2=3,D68,"")))</f>
        <v>der erfassten Umtriebe stimmen nicht überein!</v>
      </c>
      <c r="F41" t="s">
        <v>339</v>
      </c>
      <c r="G41" t="s">
        <v>58</v>
      </c>
    </row>
    <row r="42" spans="1:7">
      <c r="A42" t="s">
        <v>102</v>
      </c>
      <c r="B42" s="590"/>
      <c r="E42" t="str">
        <f>IF(Textes!F$2=1,F42,IF(Textes!F$2=2,G42,IF(Textes!F$2=3,D69,"")))</f>
        <v>Hinweis</v>
      </c>
      <c r="F42" t="s">
        <v>60</v>
      </c>
      <c r="G42" t="s">
        <v>57</v>
      </c>
    </row>
    <row r="43" spans="1:7">
      <c r="A43" t="str">
        <f>Info!L1</f>
        <v>Bedienungsanleitung</v>
      </c>
      <c r="E43" t="str">
        <f>IF(Textes!F$2=1,F43,IF(Textes!F$2=2,G43,IF(Textes!F$2=3,D37,"")))</f>
        <v>Seite</v>
      </c>
      <c r="F43" t="s">
        <v>402</v>
      </c>
      <c r="G43" t="s">
        <v>403</v>
      </c>
    </row>
    <row r="44" spans="1:7">
      <c r="A44" t="str">
        <f>Inv!K1</f>
        <v>Anfangs-/Endinventar</v>
      </c>
      <c r="E44" t="str">
        <f>IF(Textes!F$2=1,F44,IF(Textes!F$2=2,G44,IF(Textes!F$2=3,D38,"")))</f>
        <v>Inhaltsverzeichnis</v>
      </c>
      <c r="F44" t="s">
        <v>99</v>
      </c>
      <c r="G44" t="s">
        <v>74</v>
      </c>
    </row>
    <row r="45" spans="1:7">
      <c r="A45" t="str">
        <f>A1a!G1</f>
        <v xml:space="preserve">A1a: Tiereingang </v>
      </c>
      <c r="E45" t="str">
        <f>IF(Textes!F$2=1,F45,IF(Textes!F$2=2,G45,IF(Textes!F$2=3,D39,"")))</f>
        <v xml:space="preserve">Bestehende Inhalte in den zusätzlichen Futtermittelzeilen werden unwiderruflich gelöscht! </v>
      </c>
      <c r="F45" t="s">
        <v>348</v>
      </c>
      <c r="G45" t="s">
        <v>318</v>
      </c>
    </row>
    <row r="46" spans="1:7">
      <c r="A46" t="str">
        <f>A1b!G1</f>
        <v xml:space="preserve">A1b: Tiereingang </v>
      </c>
    </row>
    <row r="47" spans="1:7">
      <c r="A47" t="str">
        <f>A1c!G1</f>
        <v xml:space="preserve">A1c: Tiereingang </v>
      </c>
    </row>
    <row r="48" spans="1:7">
      <c r="A48" t="str">
        <f>A1d!G1</f>
        <v xml:space="preserve">A1d: Tiereingang </v>
      </c>
    </row>
    <row r="49" spans="1:1">
      <c r="A49" t="str">
        <f>A1e!G1</f>
        <v xml:space="preserve">A1e: Tiereingang </v>
      </c>
    </row>
    <row r="50" spans="1:1">
      <c r="A50" t="str">
        <f>A2a!H1</f>
        <v>A2a: Tierausgang</v>
      </c>
    </row>
    <row r="51" spans="1:1">
      <c r="A51" t="str">
        <f>A2b!H1</f>
        <v>A2b: Tierausgang</v>
      </c>
    </row>
    <row r="52" spans="1:1">
      <c r="A52" t="str">
        <f>A2c!H1</f>
        <v>A2c: Tierausgang</v>
      </c>
    </row>
    <row r="53" spans="1:1">
      <c r="A53" t="str">
        <f>A2d!H1</f>
        <v>A2d: Tierausgang</v>
      </c>
    </row>
    <row r="54" spans="1:1">
      <c r="A54" t="str">
        <f>A2e!H1</f>
        <v>A2e: Tierausgang</v>
      </c>
    </row>
    <row r="55" spans="1:1">
      <c r="A55" t="str">
        <f>'B1'!I1</f>
        <v>B1: Mischfutterzufuhr</v>
      </c>
    </row>
    <row r="56" spans="1:1">
      <c r="A56" t="str">
        <f>'B2'!I1</f>
        <v>B2: Mischfutterzufuhr</v>
      </c>
    </row>
    <row r="57" spans="1:1">
      <c r="A57" t="str">
        <f>'B3'!I1</f>
        <v>B3: Mischfutterzufuhr</v>
      </c>
    </row>
    <row r="58" spans="1:1">
      <c r="A58" t="str">
        <f>'B4'!I1</f>
        <v>B4: Mischfutterzufuhr</v>
      </c>
    </row>
    <row r="59" spans="1:1">
      <c r="A59" t="str">
        <f>'B5'!I1</f>
        <v>B5: Futterzufuhr</v>
      </c>
    </row>
    <row r="60" spans="1:1">
      <c r="A60" t="str">
        <f>'B6'!I1</f>
        <v>B6: Futterzufuhr</v>
      </c>
    </row>
    <row r="61" spans="1:1">
      <c r="A61" t="str">
        <f>Impex!L1</f>
        <v>Import/Exportbilanz</v>
      </c>
    </row>
    <row r="62" spans="1:1">
      <c r="A62" t="str">
        <f>Plausi!K1</f>
        <v>Berechnung der Tiefstwerte</v>
      </c>
    </row>
    <row r="63" spans="1:1">
      <c r="A63" t="str">
        <f>Poulet1!L2</f>
        <v>Stall 1</v>
      </c>
    </row>
    <row r="64" spans="1:1">
      <c r="A64" t="str">
        <f>Poulet2!L2</f>
        <v>Stall 2</v>
      </c>
    </row>
    <row r="65" spans="1:1">
      <c r="A65" t="str">
        <f>Poulet3!L2</f>
        <v>Stall 3</v>
      </c>
    </row>
    <row r="66" spans="1:1">
      <c r="A66" t="str">
        <f>Poulet_tot!H1</f>
        <v>Poulets Zusammenfassung</v>
      </c>
    </row>
    <row r="67" spans="1:1">
      <c r="A67" t="str">
        <f>Reserve!A1</f>
        <v>Reserve</v>
      </c>
    </row>
  </sheetData>
  <phoneticPr fontId="28" type="noConversion"/>
  <pageMargins left="0.78740157499999996" right="0.78740157499999996" top="0.984251969" bottom="0.984251969" header="0.4921259845" footer="0.4921259845"/>
  <pageSetup paperSize="9" orientation="portrait" r:id="rId1"/>
  <headerFooter alignWithMargins="0">
    <oddHeader>&amp;A</oddHeader>
    <oddFooter>&amp;C&amp;9&amp;F&amp;L&amp;"Arial,Fett"&amp;11AGRIDEA &amp;"Arial,Standard"&amp;9Impex, Version 2.6&amp;R&amp;"Arial,Standard"&amp;9&amp;D / Seite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B1:Q69"/>
  <sheetViews>
    <sheetView showGridLines="0" showRowColHeaders="0" showZeros="0" workbookViewId="0">
      <selection activeCell="B9" sqref="B9"/>
    </sheetView>
  </sheetViews>
  <sheetFormatPr baseColWidth="10" defaultColWidth="11.42578125" defaultRowHeight="12.75"/>
  <cols>
    <col min="1" max="1" width="1.42578125" style="1" customWidth="1"/>
    <col min="2" max="8" width="13.5703125" style="1" customWidth="1"/>
    <col min="9" max="9" width="1.42578125" style="1" customWidth="1"/>
    <col min="10" max="10" width="16.5703125" style="1" hidden="1" customWidth="1"/>
    <col min="11" max="16384" width="11.42578125" style="1"/>
  </cols>
  <sheetData>
    <row r="1" spans="2:17" ht="39.950000000000003" customHeight="1">
      <c r="D1" s="186" t="str">
        <f>+A1a!D1</f>
        <v>Impex:   Mastpoulets</v>
      </c>
      <c r="H1" s="187" t="str">
        <f>"A2a: "&amp;Textes!A86</f>
        <v>A2a: Tierausgang</v>
      </c>
    </row>
    <row r="2" spans="2:17" ht="20.100000000000001" customHeight="1">
      <c r="D2" s="186"/>
      <c r="F2" s="190"/>
      <c r="H2" s="187"/>
      <c r="J2" s="376">
        <v>1</v>
      </c>
    </row>
    <row r="3" spans="2:17" ht="15">
      <c r="B3" s="679" t="str">
        <f>Inv!C4 &amp; IF(Inv!D4=0,"",Inv!D4)</f>
        <v xml:space="preserve">Betriebs-Nr:    </v>
      </c>
      <c r="C3" s="191"/>
      <c r="E3" s="679" t="str">
        <f>Inv!C5 &amp; IF(Inv!D5=0,"",Inv!D6 &amp; " " &amp; Inv!D5)</f>
        <v xml:space="preserve">Name:    </v>
      </c>
      <c r="F3" s="45"/>
      <c r="G3" s="8"/>
      <c r="H3" s="225"/>
    </row>
    <row r="4" spans="2:17" ht="16.5" customHeight="1">
      <c r="B4" s="1" t="str">
        <f>+Textes!A89</f>
        <v xml:space="preserve"> Mit Angabe der Tierverkäufe, der Eigenversorgung und der Abgänge</v>
      </c>
      <c r="G4" s="118"/>
      <c r="H4" s="40"/>
      <c r="J4" s="9">
        <f>IF($J$2=3,Textes!$O$5,IF($J$2=2,Textes!$O$4,Textes!$O$3))</f>
        <v>0.79</v>
      </c>
    </row>
    <row r="5" spans="2:17" ht="3.95" customHeight="1"/>
    <row r="6" spans="2:17" ht="15">
      <c r="B6" s="182"/>
      <c r="C6" s="177" t="str">
        <f>IF(Textes!G2=1,Textes!A90,Textes!A92)</f>
        <v>Wegfuhr Tiere</v>
      </c>
      <c r="D6" s="178"/>
      <c r="E6" s="176"/>
      <c r="F6" s="183" t="str">
        <f>IF(Textes!G2=1,Textes!A91,"")</f>
        <v/>
      </c>
      <c r="G6" s="183"/>
      <c r="H6" s="123"/>
      <c r="J6" s="1" t="s">
        <v>445</v>
      </c>
    </row>
    <row r="7" spans="2:17" ht="14.25">
      <c r="B7" s="119" t="str">
        <f>+Textes!A93</f>
        <v>Datum</v>
      </c>
      <c r="C7" s="120" t="str">
        <f>+Textes!A94</f>
        <v>Stück</v>
      </c>
      <c r="D7" s="122" t="str">
        <f>+Textes!A95</f>
        <v>kg LG total</v>
      </c>
      <c r="E7" s="119" t="str">
        <f>IF(Textes!G2=1,B7,"")</f>
        <v/>
      </c>
      <c r="F7" s="120" t="str">
        <f>IF(Textes!G2=1,C7,"")</f>
        <v/>
      </c>
      <c r="G7" s="121" t="str">
        <f>IF(Textes!G2=1,D7,"")</f>
        <v/>
      </c>
      <c r="H7" s="122" t="str">
        <f>IF(Textes!G2=1,Textes!A88,"")</f>
        <v/>
      </c>
      <c r="J7" s="1" t="s">
        <v>446</v>
      </c>
    </row>
    <row r="8" spans="2:17" s="9" customFormat="1" ht="12.6" hidden="1" customHeight="1">
      <c r="B8" s="684"/>
      <c r="C8" s="685"/>
      <c r="D8" s="263"/>
      <c r="E8" s="684"/>
      <c r="F8" s="686"/>
      <c r="G8" s="687"/>
      <c r="H8" s="263"/>
      <c r="J8" s="9">
        <f t="shared" ref="J8:J39" si="0">IF(G8&lt;(H8/$J$4),H8/$J$4,G8)</f>
        <v>0</v>
      </c>
      <c r="P8" s="1"/>
      <c r="Q8" s="1"/>
    </row>
    <row r="9" spans="2:17" s="9" customFormat="1" ht="12.6" customHeight="1">
      <c r="B9" s="684"/>
      <c r="C9" s="685"/>
      <c r="D9" s="263"/>
      <c r="E9" s="684"/>
      <c r="F9" s="686"/>
      <c r="G9" s="687"/>
      <c r="H9" s="263"/>
      <c r="J9" s="9">
        <f t="shared" si="0"/>
        <v>0</v>
      </c>
      <c r="P9" s="1"/>
      <c r="Q9" s="1"/>
    </row>
    <row r="10" spans="2:17" s="9" customFormat="1" ht="12.6" customHeight="1">
      <c r="B10" s="684"/>
      <c r="C10" s="685"/>
      <c r="D10" s="263"/>
      <c r="E10" s="684"/>
      <c r="F10" s="686"/>
      <c r="G10" s="687"/>
      <c r="H10" s="263"/>
      <c r="J10" s="9">
        <f t="shared" si="0"/>
        <v>0</v>
      </c>
    </row>
    <row r="11" spans="2:17" s="9" customFormat="1" ht="12.6" customHeight="1">
      <c r="B11" s="684"/>
      <c r="C11" s="685"/>
      <c r="D11" s="263"/>
      <c r="E11" s="684"/>
      <c r="F11" s="686"/>
      <c r="G11" s="687"/>
      <c r="H11" s="263"/>
      <c r="J11" s="9">
        <f t="shared" si="0"/>
        <v>0</v>
      </c>
    </row>
    <row r="12" spans="2:17" s="9" customFormat="1" ht="12.6" customHeight="1">
      <c r="B12" s="684"/>
      <c r="C12" s="685"/>
      <c r="D12" s="263"/>
      <c r="E12" s="684"/>
      <c r="F12" s="686"/>
      <c r="G12" s="687"/>
      <c r="H12" s="263"/>
      <c r="J12" s="9">
        <f t="shared" si="0"/>
        <v>0</v>
      </c>
    </row>
    <row r="13" spans="2:17" s="9" customFormat="1" ht="12.6" customHeight="1">
      <c r="B13" s="684"/>
      <c r="C13" s="685"/>
      <c r="D13" s="263"/>
      <c r="E13" s="684"/>
      <c r="F13" s="686"/>
      <c r="G13" s="687"/>
      <c r="H13" s="263"/>
      <c r="J13" s="9">
        <f t="shared" si="0"/>
        <v>0</v>
      </c>
    </row>
    <row r="14" spans="2:17" s="9" customFormat="1" ht="12.6" customHeight="1">
      <c r="B14" s="684"/>
      <c r="C14" s="685"/>
      <c r="D14" s="263"/>
      <c r="E14" s="684"/>
      <c r="F14" s="686"/>
      <c r="G14" s="687"/>
      <c r="H14" s="263"/>
      <c r="J14" s="9">
        <f t="shared" si="0"/>
        <v>0</v>
      </c>
    </row>
    <row r="15" spans="2:17" s="9" customFormat="1" ht="12.6" customHeight="1">
      <c r="B15" s="684"/>
      <c r="C15" s="685"/>
      <c r="D15" s="263"/>
      <c r="E15" s="684"/>
      <c r="F15" s="686"/>
      <c r="G15" s="687"/>
      <c r="H15" s="263"/>
      <c r="J15" s="9">
        <f t="shared" si="0"/>
        <v>0</v>
      </c>
      <c r="P15" s="1"/>
      <c r="Q15" s="1"/>
    </row>
    <row r="16" spans="2:17" s="9" customFormat="1" ht="12.6" customHeight="1">
      <c r="B16" s="684"/>
      <c r="C16" s="685"/>
      <c r="D16" s="263"/>
      <c r="E16" s="684"/>
      <c r="F16" s="686"/>
      <c r="G16" s="687"/>
      <c r="H16" s="263"/>
      <c r="J16" s="9">
        <f t="shared" si="0"/>
        <v>0</v>
      </c>
    </row>
    <row r="17" spans="2:17" s="9" customFormat="1" ht="12.6" customHeight="1">
      <c r="B17" s="684"/>
      <c r="C17" s="685"/>
      <c r="D17" s="263"/>
      <c r="E17" s="684"/>
      <c r="F17" s="686"/>
      <c r="G17" s="687"/>
      <c r="H17" s="263"/>
      <c r="J17" s="9">
        <f t="shared" si="0"/>
        <v>0</v>
      </c>
    </row>
    <row r="18" spans="2:17" s="9" customFormat="1" ht="12.6" customHeight="1">
      <c r="B18" s="684"/>
      <c r="C18" s="685"/>
      <c r="D18" s="263"/>
      <c r="E18" s="684"/>
      <c r="F18" s="686"/>
      <c r="G18" s="687"/>
      <c r="H18" s="263"/>
      <c r="J18" s="9">
        <f t="shared" si="0"/>
        <v>0</v>
      </c>
      <c r="P18" s="1"/>
      <c r="Q18" s="1"/>
    </row>
    <row r="19" spans="2:17" s="9" customFormat="1" ht="12.6" customHeight="1">
      <c r="B19" s="684"/>
      <c r="C19" s="685"/>
      <c r="D19" s="263"/>
      <c r="E19" s="684"/>
      <c r="F19" s="686"/>
      <c r="G19" s="687"/>
      <c r="H19" s="263"/>
      <c r="J19" s="9">
        <f t="shared" si="0"/>
        <v>0</v>
      </c>
      <c r="P19" s="1"/>
      <c r="Q19" s="1"/>
    </row>
    <row r="20" spans="2:17" s="9" customFormat="1" ht="12.6" customHeight="1">
      <c r="B20" s="684"/>
      <c r="C20" s="685"/>
      <c r="D20" s="263"/>
      <c r="E20" s="684"/>
      <c r="F20" s="686"/>
      <c r="G20" s="687"/>
      <c r="H20" s="263"/>
      <c r="J20" s="9">
        <f t="shared" si="0"/>
        <v>0</v>
      </c>
      <c r="P20" s="1"/>
      <c r="Q20" s="1"/>
    </row>
    <row r="21" spans="2:17" s="9" customFormat="1" ht="12.6" customHeight="1">
      <c r="B21" s="684"/>
      <c r="C21" s="685"/>
      <c r="D21" s="263"/>
      <c r="E21" s="684"/>
      <c r="F21" s="686"/>
      <c r="G21" s="687"/>
      <c r="H21" s="263"/>
      <c r="J21" s="9">
        <f t="shared" si="0"/>
        <v>0</v>
      </c>
      <c r="P21" s="1"/>
      <c r="Q21" s="1"/>
    </row>
    <row r="22" spans="2:17" s="9" customFormat="1" ht="12.6" customHeight="1">
      <c r="B22" s="684"/>
      <c r="C22" s="685"/>
      <c r="D22" s="263"/>
      <c r="E22" s="684"/>
      <c r="F22" s="686"/>
      <c r="G22" s="687"/>
      <c r="H22" s="263"/>
      <c r="J22" s="9">
        <f t="shared" si="0"/>
        <v>0</v>
      </c>
      <c r="P22" s="1"/>
      <c r="Q22" s="1"/>
    </row>
    <row r="23" spans="2:17" s="9" customFormat="1" ht="12.6" customHeight="1">
      <c r="B23" s="684"/>
      <c r="C23" s="685"/>
      <c r="D23" s="263"/>
      <c r="E23" s="684"/>
      <c r="F23" s="686"/>
      <c r="G23" s="687"/>
      <c r="H23" s="263"/>
      <c r="J23" s="9">
        <f t="shared" si="0"/>
        <v>0</v>
      </c>
    </row>
    <row r="24" spans="2:17" s="9" customFormat="1" ht="12.6" customHeight="1">
      <c r="B24" s="684"/>
      <c r="C24" s="685"/>
      <c r="D24" s="263"/>
      <c r="E24" s="684"/>
      <c r="F24" s="686"/>
      <c r="G24" s="687"/>
      <c r="H24" s="263"/>
      <c r="J24" s="9">
        <f t="shared" si="0"/>
        <v>0</v>
      </c>
    </row>
    <row r="25" spans="2:17" s="9" customFormat="1" ht="12.6" customHeight="1">
      <c r="B25" s="684"/>
      <c r="C25" s="685"/>
      <c r="D25" s="263"/>
      <c r="E25" s="684"/>
      <c r="F25" s="686"/>
      <c r="G25" s="687"/>
      <c r="H25" s="263"/>
      <c r="J25" s="9">
        <f t="shared" si="0"/>
        <v>0</v>
      </c>
    </row>
    <row r="26" spans="2:17" s="9" customFormat="1" ht="12.6" customHeight="1">
      <c r="B26" s="684"/>
      <c r="C26" s="685"/>
      <c r="D26" s="263"/>
      <c r="E26" s="684"/>
      <c r="F26" s="686"/>
      <c r="G26" s="687"/>
      <c r="H26" s="263"/>
      <c r="J26" s="9">
        <f t="shared" si="0"/>
        <v>0</v>
      </c>
    </row>
    <row r="27" spans="2:17" s="9" customFormat="1" ht="12.6" customHeight="1">
      <c r="B27" s="684"/>
      <c r="C27" s="685"/>
      <c r="D27" s="263"/>
      <c r="E27" s="684"/>
      <c r="F27" s="686"/>
      <c r="G27" s="687"/>
      <c r="H27" s="263"/>
      <c r="J27" s="9">
        <f t="shared" si="0"/>
        <v>0</v>
      </c>
    </row>
    <row r="28" spans="2:17" s="9" customFormat="1" ht="12.6" customHeight="1">
      <c r="B28" s="684"/>
      <c r="C28" s="685"/>
      <c r="D28" s="263"/>
      <c r="E28" s="684"/>
      <c r="F28" s="686"/>
      <c r="G28" s="687"/>
      <c r="H28" s="263"/>
      <c r="J28" s="9">
        <f t="shared" si="0"/>
        <v>0</v>
      </c>
    </row>
    <row r="29" spans="2:17" s="9" customFormat="1" ht="12.6" customHeight="1">
      <c r="B29" s="684"/>
      <c r="C29" s="685"/>
      <c r="D29" s="263"/>
      <c r="E29" s="684"/>
      <c r="F29" s="686"/>
      <c r="G29" s="687"/>
      <c r="H29" s="263"/>
      <c r="J29" s="9">
        <f t="shared" si="0"/>
        <v>0</v>
      </c>
    </row>
    <row r="30" spans="2:17" s="9" customFormat="1" ht="12.6" customHeight="1">
      <c r="B30" s="684"/>
      <c r="C30" s="685"/>
      <c r="D30" s="263"/>
      <c r="E30" s="684"/>
      <c r="F30" s="686"/>
      <c r="G30" s="687"/>
      <c r="H30" s="263"/>
      <c r="J30" s="9">
        <f t="shared" si="0"/>
        <v>0</v>
      </c>
    </row>
    <row r="31" spans="2:17" s="9" customFormat="1" ht="12.6" customHeight="1">
      <c r="B31" s="684"/>
      <c r="C31" s="685"/>
      <c r="D31" s="263"/>
      <c r="E31" s="684"/>
      <c r="F31" s="686"/>
      <c r="G31" s="687"/>
      <c r="H31" s="263"/>
      <c r="J31" s="9">
        <f t="shared" si="0"/>
        <v>0</v>
      </c>
    </row>
    <row r="32" spans="2:17" s="9" customFormat="1" ht="12.6" customHeight="1">
      <c r="B32" s="684"/>
      <c r="C32" s="685"/>
      <c r="D32" s="263"/>
      <c r="E32" s="684"/>
      <c r="F32" s="686"/>
      <c r="G32" s="687"/>
      <c r="H32" s="263"/>
      <c r="J32" s="9">
        <f t="shared" si="0"/>
        <v>0</v>
      </c>
    </row>
    <row r="33" spans="2:11" s="9" customFormat="1" ht="12.6" customHeight="1">
      <c r="B33" s="684"/>
      <c r="C33" s="685"/>
      <c r="D33" s="263"/>
      <c r="E33" s="684"/>
      <c r="F33" s="686"/>
      <c r="G33" s="687"/>
      <c r="H33" s="263"/>
      <c r="J33" s="9">
        <f t="shared" si="0"/>
        <v>0</v>
      </c>
    </row>
    <row r="34" spans="2:11" s="9" customFormat="1" ht="12.6" customHeight="1">
      <c r="B34" s="684"/>
      <c r="C34" s="685"/>
      <c r="D34" s="263"/>
      <c r="E34" s="684"/>
      <c r="F34" s="686"/>
      <c r="G34" s="687"/>
      <c r="H34" s="263"/>
      <c r="J34" s="9">
        <f t="shared" si="0"/>
        <v>0</v>
      </c>
    </row>
    <row r="35" spans="2:11" s="9" customFormat="1" ht="12.6" customHeight="1">
      <c r="B35" s="684"/>
      <c r="C35" s="685"/>
      <c r="D35" s="263"/>
      <c r="E35" s="684"/>
      <c r="F35" s="686"/>
      <c r="G35" s="687"/>
      <c r="H35" s="263"/>
      <c r="J35" s="9">
        <f t="shared" si="0"/>
        <v>0</v>
      </c>
    </row>
    <row r="36" spans="2:11" s="9" customFormat="1" ht="12.6" customHeight="1">
      <c r="B36" s="684"/>
      <c r="C36" s="685"/>
      <c r="D36" s="263"/>
      <c r="E36" s="684"/>
      <c r="F36" s="686"/>
      <c r="G36" s="687"/>
      <c r="H36" s="263"/>
      <c r="J36" s="9">
        <f t="shared" si="0"/>
        <v>0</v>
      </c>
    </row>
    <row r="37" spans="2:11" s="9" customFormat="1" ht="12.6" customHeight="1">
      <c r="B37" s="684"/>
      <c r="C37" s="685"/>
      <c r="D37" s="263"/>
      <c r="E37" s="684"/>
      <c r="F37" s="686"/>
      <c r="G37" s="687"/>
      <c r="H37" s="263"/>
      <c r="J37" s="9">
        <f t="shared" si="0"/>
        <v>0</v>
      </c>
    </row>
    <row r="38" spans="2:11" s="9" customFormat="1" ht="12.6" customHeight="1">
      <c r="B38" s="684"/>
      <c r="C38" s="685"/>
      <c r="D38" s="263"/>
      <c r="E38" s="684"/>
      <c r="F38" s="686"/>
      <c r="G38" s="687"/>
      <c r="H38" s="263"/>
      <c r="J38" s="9">
        <f t="shared" si="0"/>
        <v>0</v>
      </c>
    </row>
    <row r="39" spans="2:11" s="9" customFormat="1" ht="12.6" customHeight="1">
      <c r="B39" s="684"/>
      <c r="C39" s="685"/>
      <c r="D39" s="263"/>
      <c r="E39" s="684"/>
      <c r="F39" s="686"/>
      <c r="G39" s="687"/>
      <c r="H39" s="263"/>
      <c r="J39" s="9">
        <f t="shared" si="0"/>
        <v>0</v>
      </c>
    </row>
    <row r="40" spans="2:11" s="9" customFormat="1" ht="12.6" customHeight="1">
      <c r="B40" s="684"/>
      <c r="C40" s="685"/>
      <c r="D40" s="263"/>
      <c r="E40" s="684"/>
      <c r="F40" s="686"/>
      <c r="G40" s="687"/>
      <c r="H40" s="263"/>
      <c r="J40" s="9">
        <f t="shared" ref="J40:J60" si="1">IF(G40&lt;(H40/$J$4),H40/$J$4,G40)</f>
        <v>0</v>
      </c>
    </row>
    <row r="41" spans="2:11" s="9" customFormat="1" ht="12.6" customHeight="1">
      <c r="B41" s="684"/>
      <c r="C41" s="685"/>
      <c r="D41" s="263"/>
      <c r="E41" s="684"/>
      <c r="F41" s="686"/>
      <c r="G41" s="687"/>
      <c r="H41" s="263"/>
      <c r="J41" s="9">
        <f t="shared" si="1"/>
        <v>0</v>
      </c>
    </row>
    <row r="42" spans="2:11" s="9" customFormat="1" ht="12.6" customHeight="1">
      <c r="B42" s="684"/>
      <c r="C42" s="685"/>
      <c r="D42" s="263"/>
      <c r="E42" s="684"/>
      <c r="F42" s="686"/>
      <c r="G42" s="687"/>
      <c r="H42" s="263"/>
      <c r="J42" s="9">
        <f t="shared" si="1"/>
        <v>0</v>
      </c>
    </row>
    <row r="43" spans="2:11" s="9" customFormat="1" ht="12.6" customHeight="1">
      <c r="B43" s="684"/>
      <c r="C43" s="685"/>
      <c r="D43" s="263"/>
      <c r="E43" s="684"/>
      <c r="F43" s="686"/>
      <c r="G43" s="687"/>
      <c r="H43" s="263"/>
      <c r="J43" s="9">
        <f t="shared" si="1"/>
        <v>0</v>
      </c>
    </row>
    <row r="44" spans="2:11" s="9" customFormat="1" ht="12.6" customHeight="1">
      <c r="B44" s="684"/>
      <c r="C44" s="685"/>
      <c r="D44" s="263"/>
      <c r="E44" s="684"/>
      <c r="F44" s="686"/>
      <c r="G44" s="687"/>
      <c r="H44" s="263"/>
      <c r="J44" s="9">
        <f t="shared" si="1"/>
        <v>0</v>
      </c>
    </row>
    <row r="45" spans="2:11" s="9" customFormat="1" ht="12.6" customHeight="1">
      <c r="B45" s="684"/>
      <c r="C45" s="685"/>
      <c r="D45" s="263"/>
      <c r="E45" s="684"/>
      <c r="F45" s="686"/>
      <c r="G45" s="687"/>
      <c r="H45" s="263"/>
      <c r="J45" s="9">
        <f t="shared" si="1"/>
        <v>0</v>
      </c>
      <c r="K45" s="124"/>
    </row>
    <row r="46" spans="2:11" s="9" customFormat="1" ht="12.6" customHeight="1">
      <c r="B46" s="684"/>
      <c r="C46" s="685"/>
      <c r="D46" s="263"/>
      <c r="E46" s="684"/>
      <c r="F46" s="686"/>
      <c r="G46" s="687"/>
      <c r="H46" s="263"/>
      <c r="J46" s="9">
        <f t="shared" si="1"/>
        <v>0</v>
      </c>
    </row>
    <row r="47" spans="2:11" s="9" customFormat="1" ht="12.6" customHeight="1">
      <c r="B47" s="684"/>
      <c r="C47" s="685"/>
      <c r="D47" s="263"/>
      <c r="E47" s="684"/>
      <c r="F47" s="686"/>
      <c r="G47" s="687"/>
      <c r="H47" s="263"/>
      <c r="J47" s="9">
        <f t="shared" si="1"/>
        <v>0</v>
      </c>
    </row>
    <row r="48" spans="2:11" s="9" customFormat="1" ht="12.6" customHeight="1">
      <c r="B48" s="684"/>
      <c r="C48" s="685"/>
      <c r="D48" s="263"/>
      <c r="E48" s="684"/>
      <c r="F48" s="686"/>
      <c r="G48" s="687"/>
      <c r="H48" s="263"/>
      <c r="J48" s="9">
        <f t="shared" si="1"/>
        <v>0</v>
      </c>
    </row>
    <row r="49" spans="2:17" s="9" customFormat="1" ht="12.6" customHeight="1">
      <c r="B49" s="684"/>
      <c r="C49" s="685"/>
      <c r="D49" s="263"/>
      <c r="E49" s="684"/>
      <c r="F49" s="686"/>
      <c r="G49" s="687"/>
      <c r="H49" s="263"/>
      <c r="J49" s="9">
        <f t="shared" si="1"/>
        <v>0</v>
      </c>
    </row>
    <row r="50" spans="2:17" s="9" customFormat="1" ht="12.6" customHeight="1">
      <c r="B50" s="684"/>
      <c r="C50" s="685"/>
      <c r="D50" s="263"/>
      <c r="E50" s="684"/>
      <c r="F50" s="686"/>
      <c r="G50" s="687"/>
      <c r="H50" s="263"/>
      <c r="J50" s="9">
        <f t="shared" si="1"/>
        <v>0</v>
      </c>
    </row>
    <row r="51" spans="2:17" s="9" customFormat="1" ht="12.6" customHeight="1">
      <c r="B51" s="684"/>
      <c r="C51" s="685"/>
      <c r="D51" s="263"/>
      <c r="E51" s="684"/>
      <c r="F51" s="686"/>
      <c r="G51" s="687"/>
      <c r="H51" s="263"/>
      <c r="J51" s="9">
        <f t="shared" si="1"/>
        <v>0</v>
      </c>
    </row>
    <row r="52" spans="2:17" s="9" customFormat="1" ht="12.6" customHeight="1">
      <c r="B52" s="684"/>
      <c r="C52" s="685"/>
      <c r="D52" s="263"/>
      <c r="E52" s="684"/>
      <c r="F52" s="686"/>
      <c r="G52" s="687"/>
      <c r="H52" s="263"/>
      <c r="J52" s="9">
        <f t="shared" si="1"/>
        <v>0</v>
      </c>
    </row>
    <row r="53" spans="2:17" s="9" customFormat="1" ht="12.6" customHeight="1">
      <c r="B53" s="684"/>
      <c r="C53" s="685"/>
      <c r="D53" s="263"/>
      <c r="E53" s="684"/>
      <c r="F53" s="686"/>
      <c r="G53" s="687"/>
      <c r="H53" s="263"/>
      <c r="J53" s="9">
        <f t="shared" si="1"/>
        <v>0</v>
      </c>
    </row>
    <row r="54" spans="2:17" s="9" customFormat="1" ht="12.6" customHeight="1">
      <c r="B54" s="684"/>
      <c r="C54" s="685"/>
      <c r="D54" s="263"/>
      <c r="E54" s="684"/>
      <c r="F54" s="686"/>
      <c r="G54" s="687"/>
      <c r="H54" s="263"/>
      <c r="J54" s="9">
        <f t="shared" si="1"/>
        <v>0</v>
      </c>
    </row>
    <row r="55" spans="2:17" s="9" customFormat="1" ht="12.6" customHeight="1">
      <c r="B55" s="684"/>
      <c r="C55" s="685"/>
      <c r="D55" s="263"/>
      <c r="E55" s="684"/>
      <c r="F55" s="686"/>
      <c r="G55" s="687"/>
      <c r="H55" s="263"/>
      <c r="J55" s="9">
        <f t="shared" si="1"/>
        <v>0</v>
      </c>
    </row>
    <row r="56" spans="2:17" s="9" customFormat="1" ht="12.6" customHeight="1">
      <c r="B56" s="684"/>
      <c r="C56" s="685"/>
      <c r="D56" s="263"/>
      <c r="E56" s="684"/>
      <c r="F56" s="686"/>
      <c r="G56" s="687"/>
      <c r="H56" s="263"/>
      <c r="J56" s="9">
        <f t="shared" si="1"/>
        <v>0</v>
      </c>
    </row>
    <row r="57" spans="2:17" s="9" customFormat="1" ht="12.6" customHeight="1">
      <c r="B57" s="684"/>
      <c r="C57" s="685"/>
      <c r="D57" s="263"/>
      <c r="E57" s="684"/>
      <c r="F57" s="686"/>
      <c r="G57" s="687"/>
      <c r="H57" s="263"/>
      <c r="J57" s="9">
        <f t="shared" si="1"/>
        <v>0</v>
      </c>
    </row>
    <row r="58" spans="2:17" s="9" customFormat="1" ht="12.6" customHeight="1">
      <c r="B58" s="684"/>
      <c r="C58" s="685"/>
      <c r="D58" s="263"/>
      <c r="E58" s="684"/>
      <c r="F58" s="686"/>
      <c r="G58" s="687"/>
      <c r="H58" s="263"/>
      <c r="J58" s="9">
        <f t="shared" si="1"/>
        <v>0</v>
      </c>
    </row>
    <row r="59" spans="2:17" s="9" customFormat="1" ht="12.6" customHeight="1">
      <c r="B59" s="684"/>
      <c r="C59" s="685"/>
      <c r="D59" s="263"/>
      <c r="E59" s="684"/>
      <c r="F59" s="686"/>
      <c r="G59" s="687"/>
      <c r="H59" s="263"/>
      <c r="J59" s="9">
        <f t="shared" si="1"/>
        <v>0</v>
      </c>
    </row>
    <row r="60" spans="2:17" s="9" customFormat="1" ht="12.6" customHeight="1">
      <c r="B60" s="684"/>
      <c r="C60" s="685"/>
      <c r="D60" s="263"/>
      <c r="E60" s="684"/>
      <c r="F60" s="686"/>
      <c r="G60" s="687"/>
      <c r="H60" s="263"/>
      <c r="J60" s="9">
        <f t="shared" si="1"/>
        <v>0</v>
      </c>
    </row>
    <row r="61" spans="2:17" ht="14.25">
      <c r="B61" s="27" t="str">
        <f>+Textes!A96</f>
        <v>Total Wegfuhr</v>
      </c>
      <c r="C61" s="270">
        <f>IF(SUM(C8:C60)=0,0,SUM(C8:C60))</f>
        <v>0</v>
      </c>
      <c r="D61" s="273">
        <f>IF(SUM(D8:D60)=0,0,SUM(D8:D60))</f>
        <v>0</v>
      </c>
      <c r="E61" s="27" t="str">
        <f>+B61</f>
        <v>Total Wegfuhr</v>
      </c>
      <c r="F61" s="270">
        <f>IF(SUM(F8:F60)=0,0,SUM(F8:F60))</f>
        <v>0</v>
      </c>
      <c r="G61" s="270">
        <f>IF(J61=0,0,J61)</f>
        <v>0</v>
      </c>
      <c r="H61" s="271"/>
      <c r="J61" s="1">
        <f>SUM(J8:J60)</f>
        <v>0</v>
      </c>
      <c r="L61" s="9"/>
      <c r="M61" s="9"/>
      <c r="N61" s="9"/>
      <c r="O61" s="9"/>
      <c r="P61" s="9"/>
      <c r="Q61" s="9"/>
    </row>
    <row r="62" spans="2:17" ht="18" customHeight="1">
      <c r="B62" s="107" t="str">
        <f>IF(Textes!G2=1,Textes!A99,"")</f>
        <v/>
      </c>
      <c r="C62" s="125"/>
      <c r="D62" s="125"/>
      <c r="E62" s="107"/>
      <c r="F62" s="125"/>
      <c r="G62" s="125"/>
      <c r="H62" s="125"/>
    </row>
    <row r="63" spans="2:17" ht="4.5" customHeight="1">
      <c r="C63" s="126"/>
      <c r="D63" s="126"/>
      <c r="F63" s="126"/>
      <c r="H63" s="126"/>
    </row>
    <row r="64" spans="2:17" ht="21" customHeight="1">
      <c r="B64" s="29" t="str">
        <f>+Textes!A70</f>
        <v>Kantonale Kontrollstelle, Datum:</v>
      </c>
      <c r="C64" s="30"/>
      <c r="D64" s="30"/>
      <c r="E64" s="30"/>
      <c r="F64" s="30" t="str">
        <f>+Textes!A71</f>
        <v>Unterschrift:</v>
      </c>
      <c r="G64" s="30"/>
      <c r="H64" s="31"/>
    </row>
    <row r="65" spans="2:10" ht="4.5" customHeight="1">
      <c r="E65" s="127"/>
      <c r="J65" s="1" t="s">
        <v>447</v>
      </c>
    </row>
    <row r="66" spans="2:10" ht="21" customHeight="1">
      <c r="B66" s="29" t="str">
        <f>+Textes!A74</f>
        <v>Betriebsleiter, Datum:</v>
      </c>
      <c r="C66" s="30"/>
      <c r="D66" s="30"/>
      <c r="E66" s="30"/>
      <c r="F66" s="30" t="str">
        <f>+Textes!A71</f>
        <v>Unterschrift:</v>
      </c>
      <c r="G66" s="30"/>
      <c r="H66" s="31"/>
    </row>
    <row r="67" spans="2:10" ht="6" customHeight="1">
      <c r="F67" s="10"/>
      <c r="G67" s="10"/>
    </row>
    <row r="68" spans="2:10" ht="9.9499999999999993" customHeight="1">
      <c r="F68" s="10"/>
      <c r="G68" s="10"/>
    </row>
    <row r="69" spans="2:10">
      <c r="F69" s="10"/>
      <c r="G69" s="10"/>
    </row>
  </sheetData>
  <sheetProtection password="8C69" sheet="1" scenarios="1"/>
  <phoneticPr fontId="28" type="noConversion"/>
  <pageMargins left="0.59055118110236227" right="0.39370078740157483" top="0.39370078740157483" bottom="0.32" header="0.11811023622047245" footer="0.11811023622047245"/>
  <pageSetup paperSize="9" scale="92" orientation="portrait" r:id="rId1"/>
  <headerFooter alignWithMargins="0">
    <oddFooter>&amp;C&amp;9&amp;F&amp;L&amp;"Arial,Fett"&amp;11AGRIDEA &amp;"Arial,Standard"&amp;9Impex, Version 2.6&amp;R&amp;"Arial,Standard"&amp;9&amp;D / 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4" r:id="rId4" name="cboAusbeute">
              <controlPr defaultSize="0" autoFill="0" autoLine="0" autoPict="0">
                <anchor moveWithCells="1">
                  <from>
                    <xdr:col>6</xdr:col>
                    <xdr:colOff>238125</xdr:colOff>
                    <xdr:row>1</xdr:row>
                    <xdr:rowOff>85725</xdr:rowOff>
                  </from>
                  <to>
                    <xdr:col>7</xdr:col>
                    <xdr:colOff>904875</xdr:colOff>
                    <xdr:row>2</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B1:Q69"/>
  <sheetViews>
    <sheetView showGridLines="0" showRowColHeaders="0" showZeros="0" workbookViewId="0">
      <selection activeCell="B9" sqref="B9"/>
    </sheetView>
  </sheetViews>
  <sheetFormatPr baseColWidth="10" defaultColWidth="11.42578125" defaultRowHeight="12.75"/>
  <cols>
    <col min="1" max="1" width="1.42578125" style="1" customWidth="1"/>
    <col min="2" max="8" width="13.5703125" style="1" customWidth="1"/>
    <col min="9" max="9" width="1.42578125" style="1" customWidth="1"/>
    <col min="10" max="10" width="16.5703125" style="1" hidden="1" customWidth="1"/>
    <col min="11" max="16384" width="11.42578125" style="1"/>
  </cols>
  <sheetData>
    <row r="1" spans="2:17" ht="39.950000000000003" customHeight="1">
      <c r="D1" s="186" t="str">
        <f>+A1a!D1</f>
        <v>Impex:   Mastpoulets</v>
      </c>
      <c r="H1" s="187" t="str">
        <f>"A2b: "&amp;Textes!A86</f>
        <v>A2b: Tierausgang</v>
      </c>
    </row>
    <row r="2" spans="2:17" ht="20.100000000000001" customHeight="1">
      <c r="D2" s="186"/>
      <c r="F2" s="190"/>
      <c r="H2" s="187"/>
      <c r="J2" s="376">
        <v>1</v>
      </c>
    </row>
    <row r="3" spans="2:17" ht="15">
      <c r="B3" s="679" t="str">
        <f>Inv!C4 &amp; IF(Inv!D4=0,"",Inv!D4)</f>
        <v xml:space="preserve">Betriebs-Nr:    </v>
      </c>
      <c r="C3" s="191"/>
      <c r="E3" s="679" t="str">
        <f>Inv!C5 &amp; IF(Inv!D5=0,"",Inv!D6 &amp; " " &amp; Inv!D5)</f>
        <v xml:space="preserve">Name:    </v>
      </c>
      <c r="F3" s="45"/>
      <c r="G3" s="8"/>
      <c r="H3" s="225"/>
    </row>
    <row r="4" spans="2:17" ht="16.5" customHeight="1">
      <c r="B4" s="1" t="str">
        <f>+Textes!A89</f>
        <v xml:space="preserve"> Mit Angabe der Tierverkäufe, der Eigenversorgung und der Abgänge</v>
      </c>
      <c r="G4" s="118"/>
      <c r="H4" s="40"/>
      <c r="J4" s="1">
        <f>IF($J$2=3,Textes!$O$5,IF($J$2=2,Textes!$O$4,Textes!$O$3))</f>
        <v>0.79</v>
      </c>
    </row>
    <row r="5" spans="2:17" ht="3.95" customHeight="1"/>
    <row r="6" spans="2:17" ht="15">
      <c r="B6" s="182"/>
      <c r="C6" s="177" t="str">
        <f>IF(Textes!G2=1,Textes!A90,Textes!A92)</f>
        <v>Wegfuhr Tiere</v>
      </c>
      <c r="D6" s="178"/>
      <c r="E6" s="176"/>
      <c r="F6" s="183" t="str">
        <f>IF(Textes!G2=1,Textes!A91,"")</f>
        <v/>
      </c>
      <c r="G6" s="183"/>
      <c r="H6" s="123"/>
      <c r="J6" s="1" t="s">
        <v>445</v>
      </c>
    </row>
    <row r="7" spans="2:17" ht="14.25">
      <c r="B7" s="119" t="str">
        <f>+Textes!A93</f>
        <v>Datum</v>
      </c>
      <c r="C7" s="120" t="str">
        <f>+Textes!A94</f>
        <v>Stück</v>
      </c>
      <c r="D7" s="122" t="str">
        <f>+Textes!A95</f>
        <v>kg LG total</v>
      </c>
      <c r="E7" s="119" t="str">
        <f>IF(Textes!G2=1,B7,"")</f>
        <v/>
      </c>
      <c r="F7" s="120" t="str">
        <f>IF(Textes!G2=1,C7,"")</f>
        <v/>
      </c>
      <c r="G7" s="121" t="str">
        <f>IF(Textes!G2=1,D7,"")</f>
        <v/>
      </c>
      <c r="H7" s="122" t="str">
        <f>IF(Textes!G2=1,Textes!A88,"")</f>
        <v/>
      </c>
      <c r="J7" s="1" t="s">
        <v>446</v>
      </c>
    </row>
    <row r="8" spans="2:17" s="9" customFormat="1" ht="12.6" hidden="1" customHeight="1">
      <c r="B8" s="684"/>
      <c r="C8" s="685"/>
      <c r="D8" s="263"/>
      <c r="E8" s="684"/>
      <c r="F8" s="686"/>
      <c r="G8" s="687"/>
      <c r="H8" s="263"/>
      <c r="J8" s="9">
        <f>IF(G8&lt;(H8/$J$4),H8/$J$4,G8)</f>
        <v>0</v>
      </c>
      <c r="P8" s="1"/>
      <c r="Q8" s="1"/>
    </row>
    <row r="9" spans="2:17" s="9" customFormat="1" ht="12.6" customHeight="1">
      <c r="B9" s="684"/>
      <c r="C9" s="685"/>
      <c r="D9" s="263"/>
      <c r="E9" s="684"/>
      <c r="F9" s="686"/>
      <c r="G9" s="687"/>
      <c r="H9" s="263"/>
      <c r="J9" s="9">
        <f t="shared" ref="J9:J60" si="0">IF(G9&lt;(H9/$J$4),H9/$J$4,G9)</f>
        <v>0</v>
      </c>
      <c r="P9" s="1"/>
      <c r="Q9" s="1"/>
    </row>
    <row r="10" spans="2:17" s="9" customFormat="1" ht="12.6" customHeight="1">
      <c r="B10" s="684"/>
      <c r="C10" s="685"/>
      <c r="D10" s="263"/>
      <c r="E10" s="684"/>
      <c r="F10" s="686"/>
      <c r="G10" s="687"/>
      <c r="H10" s="263"/>
      <c r="J10" s="9">
        <f t="shared" si="0"/>
        <v>0</v>
      </c>
    </row>
    <row r="11" spans="2:17" s="9" customFormat="1" ht="12.6" customHeight="1">
      <c r="B11" s="684"/>
      <c r="C11" s="685"/>
      <c r="D11" s="263"/>
      <c r="E11" s="684"/>
      <c r="F11" s="686"/>
      <c r="G11" s="687"/>
      <c r="H11" s="263"/>
      <c r="J11" s="9">
        <f t="shared" si="0"/>
        <v>0</v>
      </c>
    </row>
    <row r="12" spans="2:17" s="9" customFormat="1" ht="12.6" customHeight="1">
      <c r="B12" s="684"/>
      <c r="C12" s="685"/>
      <c r="D12" s="263"/>
      <c r="E12" s="684"/>
      <c r="F12" s="686"/>
      <c r="G12" s="687"/>
      <c r="H12" s="263"/>
      <c r="J12" s="9">
        <f t="shared" si="0"/>
        <v>0</v>
      </c>
    </row>
    <row r="13" spans="2:17" s="9" customFormat="1" ht="12.6" customHeight="1">
      <c r="B13" s="684"/>
      <c r="C13" s="685"/>
      <c r="D13" s="263"/>
      <c r="E13" s="684"/>
      <c r="F13" s="686"/>
      <c r="G13" s="687"/>
      <c r="H13" s="263"/>
      <c r="J13" s="9">
        <f t="shared" si="0"/>
        <v>0</v>
      </c>
    </row>
    <row r="14" spans="2:17" s="9" customFormat="1" ht="12.6" customHeight="1">
      <c r="B14" s="684"/>
      <c r="C14" s="685"/>
      <c r="D14" s="263"/>
      <c r="E14" s="684"/>
      <c r="F14" s="686"/>
      <c r="G14" s="687"/>
      <c r="H14" s="263"/>
      <c r="J14" s="9">
        <f t="shared" si="0"/>
        <v>0</v>
      </c>
    </row>
    <row r="15" spans="2:17" s="9" customFormat="1" ht="12.6" customHeight="1">
      <c r="B15" s="684"/>
      <c r="C15" s="685"/>
      <c r="D15" s="263"/>
      <c r="E15" s="684"/>
      <c r="F15" s="686"/>
      <c r="G15" s="687"/>
      <c r="H15" s="263"/>
      <c r="J15" s="9">
        <f t="shared" si="0"/>
        <v>0</v>
      </c>
      <c r="P15" s="1"/>
      <c r="Q15" s="1"/>
    </row>
    <row r="16" spans="2:17" s="9" customFormat="1" ht="12.6" customHeight="1">
      <c r="B16" s="684"/>
      <c r="C16" s="685"/>
      <c r="D16" s="263"/>
      <c r="E16" s="684"/>
      <c r="F16" s="686"/>
      <c r="G16" s="687"/>
      <c r="H16" s="263"/>
      <c r="J16" s="9">
        <f t="shared" si="0"/>
        <v>0</v>
      </c>
    </row>
    <row r="17" spans="2:17" s="9" customFormat="1" ht="12.6" customHeight="1">
      <c r="B17" s="684"/>
      <c r="C17" s="685"/>
      <c r="D17" s="263"/>
      <c r="E17" s="684"/>
      <c r="F17" s="686"/>
      <c r="G17" s="687"/>
      <c r="H17" s="263"/>
      <c r="J17" s="9">
        <f t="shared" si="0"/>
        <v>0</v>
      </c>
    </row>
    <row r="18" spans="2:17" s="9" customFormat="1" ht="12.6" customHeight="1">
      <c r="B18" s="684"/>
      <c r="C18" s="685"/>
      <c r="D18" s="263"/>
      <c r="E18" s="684"/>
      <c r="F18" s="686"/>
      <c r="G18" s="687"/>
      <c r="H18" s="263"/>
      <c r="J18" s="9">
        <f t="shared" si="0"/>
        <v>0</v>
      </c>
      <c r="P18" s="1"/>
      <c r="Q18" s="1"/>
    </row>
    <row r="19" spans="2:17" s="9" customFormat="1" ht="12.6" customHeight="1">
      <c r="B19" s="684"/>
      <c r="C19" s="685"/>
      <c r="D19" s="263"/>
      <c r="E19" s="684"/>
      <c r="F19" s="686"/>
      <c r="G19" s="687"/>
      <c r="H19" s="263"/>
      <c r="J19" s="9">
        <f t="shared" si="0"/>
        <v>0</v>
      </c>
      <c r="P19" s="1"/>
      <c r="Q19" s="1"/>
    </row>
    <row r="20" spans="2:17" s="9" customFormat="1" ht="12.6" customHeight="1">
      <c r="B20" s="684"/>
      <c r="C20" s="685"/>
      <c r="D20" s="263"/>
      <c r="E20" s="684"/>
      <c r="F20" s="686"/>
      <c r="G20" s="687"/>
      <c r="H20" s="263"/>
      <c r="J20" s="9">
        <f t="shared" si="0"/>
        <v>0</v>
      </c>
      <c r="P20" s="1"/>
      <c r="Q20" s="1"/>
    </row>
    <row r="21" spans="2:17" s="9" customFormat="1" ht="12.6" customHeight="1">
      <c r="B21" s="684"/>
      <c r="C21" s="685"/>
      <c r="D21" s="263"/>
      <c r="E21" s="684"/>
      <c r="F21" s="686"/>
      <c r="G21" s="687"/>
      <c r="H21" s="263"/>
      <c r="J21" s="9">
        <f t="shared" si="0"/>
        <v>0</v>
      </c>
      <c r="P21" s="1"/>
      <c r="Q21" s="1"/>
    </row>
    <row r="22" spans="2:17" s="9" customFormat="1" ht="12.6" customHeight="1">
      <c r="B22" s="684"/>
      <c r="C22" s="685"/>
      <c r="D22" s="263"/>
      <c r="E22" s="684"/>
      <c r="F22" s="686"/>
      <c r="G22" s="687"/>
      <c r="H22" s="263"/>
      <c r="J22" s="9">
        <f t="shared" si="0"/>
        <v>0</v>
      </c>
      <c r="P22" s="1"/>
      <c r="Q22" s="1"/>
    </row>
    <row r="23" spans="2:17" s="9" customFormat="1" ht="12.6" customHeight="1">
      <c r="B23" s="684"/>
      <c r="C23" s="685"/>
      <c r="D23" s="263"/>
      <c r="E23" s="684"/>
      <c r="F23" s="686"/>
      <c r="G23" s="687"/>
      <c r="H23" s="263"/>
      <c r="J23" s="9">
        <f t="shared" si="0"/>
        <v>0</v>
      </c>
    </row>
    <row r="24" spans="2:17" s="9" customFormat="1" ht="12.6" customHeight="1">
      <c r="B24" s="684"/>
      <c r="C24" s="685"/>
      <c r="D24" s="263"/>
      <c r="E24" s="684"/>
      <c r="F24" s="686"/>
      <c r="G24" s="687"/>
      <c r="H24" s="263"/>
      <c r="J24" s="9">
        <f t="shared" si="0"/>
        <v>0</v>
      </c>
    </row>
    <row r="25" spans="2:17" s="9" customFormat="1" ht="12.6" customHeight="1">
      <c r="B25" s="684"/>
      <c r="C25" s="685"/>
      <c r="D25" s="263"/>
      <c r="E25" s="684"/>
      <c r="F25" s="686"/>
      <c r="G25" s="687"/>
      <c r="H25" s="263"/>
      <c r="J25" s="9">
        <f t="shared" si="0"/>
        <v>0</v>
      </c>
    </row>
    <row r="26" spans="2:17" s="9" customFormat="1" ht="12.6" customHeight="1">
      <c r="B26" s="684"/>
      <c r="C26" s="685"/>
      <c r="D26" s="263"/>
      <c r="E26" s="684"/>
      <c r="F26" s="686"/>
      <c r="G26" s="687"/>
      <c r="H26" s="263"/>
      <c r="J26" s="9">
        <f t="shared" si="0"/>
        <v>0</v>
      </c>
    </row>
    <row r="27" spans="2:17" s="9" customFormat="1" ht="12.6" customHeight="1">
      <c r="B27" s="684"/>
      <c r="C27" s="685"/>
      <c r="D27" s="263"/>
      <c r="E27" s="684"/>
      <c r="F27" s="686"/>
      <c r="G27" s="687"/>
      <c r="H27" s="263"/>
      <c r="J27" s="9">
        <f t="shared" si="0"/>
        <v>0</v>
      </c>
    </row>
    <row r="28" spans="2:17" s="9" customFormat="1" ht="12.6" customHeight="1">
      <c r="B28" s="684"/>
      <c r="C28" s="685"/>
      <c r="D28" s="263"/>
      <c r="E28" s="684"/>
      <c r="F28" s="686"/>
      <c r="G28" s="687"/>
      <c r="H28" s="263"/>
      <c r="J28" s="9">
        <f t="shared" si="0"/>
        <v>0</v>
      </c>
    </row>
    <row r="29" spans="2:17" s="9" customFormat="1" ht="12.6" customHeight="1">
      <c r="B29" s="684"/>
      <c r="C29" s="685"/>
      <c r="D29" s="263"/>
      <c r="E29" s="684"/>
      <c r="F29" s="686"/>
      <c r="G29" s="687"/>
      <c r="H29" s="263"/>
      <c r="J29" s="9">
        <f t="shared" si="0"/>
        <v>0</v>
      </c>
    </row>
    <row r="30" spans="2:17" s="9" customFormat="1" ht="12.6" customHeight="1">
      <c r="B30" s="684"/>
      <c r="C30" s="685"/>
      <c r="D30" s="263"/>
      <c r="E30" s="684"/>
      <c r="F30" s="686"/>
      <c r="G30" s="687"/>
      <c r="H30" s="263"/>
      <c r="J30" s="9">
        <f t="shared" si="0"/>
        <v>0</v>
      </c>
    </row>
    <row r="31" spans="2:17" s="9" customFormat="1" ht="12.6" customHeight="1">
      <c r="B31" s="684"/>
      <c r="C31" s="685"/>
      <c r="D31" s="263"/>
      <c r="E31" s="684"/>
      <c r="F31" s="686"/>
      <c r="G31" s="687"/>
      <c r="H31" s="263"/>
      <c r="J31" s="9">
        <f t="shared" si="0"/>
        <v>0</v>
      </c>
    </row>
    <row r="32" spans="2:17" s="9" customFormat="1" ht="12.6" customHeight="1">
      <c r="B32" s="684"/>
      <c r="C32" s="685"/>
      <c r="D32" s="263"/>
      <c r="E32" s="684"/>
      <c r="F32" s="686"/>
      <c r="G32" s="687"/>
      <c r="H32" s="263"/>
      <c r="J32" s="9">
        <f t="shared" si="0"/>
        <v>0</v>
      </c>
    </row>
    <row r="33" spans="2:11" s="9" customFormat="1" ht="12.6" customHeight="1">
      <c r="B33" s="684"/>
      <c r="C33" s="685"/>
      <c r="D33" s="263"/>
      <c r="E33" s="684"/>
      <c r="F33" s="686"/>
      <c r="G33" s="687"/>
      <c r="H33" s="263"/>
      <c r="J33" s="9">
        <f t="shared" si="0"/>
        <v>0</v>
      </c>
    </row>
    <row r="34" spans="2:11" s="9" customFormat="1" ht="12.6" customHeight="1">
      <c r="B34" s="684"/>
      <c r="C34" s="685"/>
      <c r="D34" s="263"/>
      <c r="E34" s="684"/>
      <c r="F34" s="686"/>
      <c r="G34" s="687"/>
      <c r="H34" s="263"/>
      <c r="J34" s="9">
        <f t="shared" si="0"/>
        <v>0</v>
      </c>
    </row>
    <row r="35" spans="2:11" s="9" customFormat="1" ht="12.6" customHeight="1">
      <c r="B35" s="684"/>
      <c r="C35" s="685"/>
      <c r="D35" s="263"/>
      <c r="E35" s="684"/>
      <c r="F35" s="686"/>
      <c r="G35" s="687"/>
      <c r="H35" s="263"/>
      <c r="J35" s="9">
        <f t="shared" si="0"/>
        <v>0</v>
      </c>
    </row>
    <row r="36" spans="2:11" s="9" customFormat="1" ht="12.6" customHeight="1">
      <c r="B36" s="684"/>
      <c r="C36" s="685"/>
      <c r="D36" s="263"/>
      <c r="E36" s="684"/>
      <c r="F36" s="686"/>
      <c r="G36" s="687"/>
      <c r="H36" s="263"/>
      <c r="J36" s="9">
        <f t="shared" si="0"/>
        <v>0</v>
      </c>
    </row>
    <row r="37" spans="2:11" s="9" customFormat="1" ht="12.6" customHeight="1">
      <c r="B37" s="684"/>
      <c r="C37" s="685"/>
      <c r="D37" s="263"/>
      <c r="E37" s="684"/>
      <c r="F37" s="686"/>
      <c r="G37" s="687"/>
      <c r="H37" s="263"/>
      <c r="J37" s="9">
        <f t="shared" si="0"/>
        <v>0</v>
      </c>
    </row>
    <row r="38" spans="2:11" s="9" customFormat="1" ht="12.6" customHeight="1">
      <c r="B38" s="684"/>
      <c r="C38" s="685"/>
      <c r="D38" s="263"/>
      <c r="E38" s="684"/>
      <c r="F38" s="686"/>
      <c r="G38" s="687"/>
      <c r="H38" s="263"/>
      <c r="J38" s="9">
        <f t="shared" si="0"/>
        <v>0</v>
      </c>
    </row>
    <row r="39" spans="2:11" s="9" customFormat="1" ht="12.6" customHeight="1">
      <c r="B39" s="684"/>
      <c r="C39" s="685"/>
      <c r="D39" s="263"/>
      <c r="E39" s="684"/>
      <c r="F39" s="686"/>
      <c r="G39" s="687"/>
      <c r="H39" s="263"/>
      <c r="J39" s="9">
        <f t="shared" si="0"/>
        <v>0</v>
      </c>
    </row>
    <row r="40" spans="2:11" s="9" customFormat="1" ht="12.6" customHeight="1">
      <c r="B40" s="684"/>
      <c r="C40" s="685"/>
      <c r="D40" s="263"/>
      <c r="E40" s="684"/>
      <c r="F40" s="686"/>
      <c r="G40" s="687"/>
      <c r="H40" s="263"/>
      <c r="J40" s="9">
        <f t="shared" si="0"/>
        <v>0</v>
      </c>
    </row>
    <row r="41" spans="2:11" s="9" customFormat="1" ht="12.6" customHeight="1">
      <c r="B41" s="684"/>
      <c r="C41" s="685"/>
      <c r="D41" s="263"/>
      <c r="E41" s="684"/>
      <c r="F41" s="686"/>
      <c r="G41" s="687"/>
      <c r="H41" s="263"/>
      <c r="J41" s="9">
        <f t="shared" si="0"/>
        <v>0</v>
      </c>
    </row>
    <row r="42" spans="2:11" s="9" customFormat="1" ht="12.6" customHeight="1">
      <c r="B42" s="684"/>
      <c r="C42" s="685"/>
      <c r="D42" s="263"/>
      <c r="E42" s="684"/>
      <c r="F42" s="686"/>
      <c r="G42" s="687"/>
      <c r="H42" s="263"/>
      <c r="J42" s="9">
        <f t="shared" si="0"/>
        <v>0</v>
      </c>
    </row>
    <row r="43" spans="2:11" s="9" customFormat="1" ht="12.6" customHeight="1">
      <c r="B43" s="684"/>
      <c r="C43" s="685"/>
      <c r="D43" s="263"/>
      <c r="E43" s="684"/>
      <c r="F43" s="686"/>
      <c r="G43" s="687"/>
      <c r="H43" s="263"/>
      <c r="J43" s="9">
        <f t="shared" si="0"/>
        <v>0</v>
      </c>
    </row>
    <row r="44" spans="2:11" s="9" customFormat="1" ht="12.6" customHeight="1">
      <c r="B44" s="684"/>
      <c r="C44" s="685"/>
      <c r="D44" s="263"/>
      <c r="E44" s="684"/>
      <c r="F44" s="686"/>
      <c r="G44" s="687"/>
      <c r="H44" s="263"/>
      <c r="J44" s="9">
        <f t="shared" si="0"/>
        <v>0</v>
      </c>
    </row>
    <row r="45" spans="2:11" s="9" customFormat="1" ht="12.6" customHeight="1">
      <c r="B45" s="684"/>
      <c r="C45" s="685"/>
      <c r="D45" s="263"/>
      <c r="E45" s="684"/>
      <c r="F45" s="686"/>
      <c r="G45" s="687"/>
      <c r="H45" s="263"/>
      <c r="J45" s="9">
        <f t="shared" si="0"/>
        <v>0</v>
      </c>
      <c r="K45" s="124"/>
    </row>
    <row r="46" spans="2:11" s="9" customFormat="1" ht="12.6" customHeight="1">
      <c r="B46" s="684"/>
      <c r="C46" s="685"/>
      <c r="D46" s="263"/>
      <c r="E46" s="684"/>
      <c r="F46" s="686"/>
      <c r="G46" s="687"/>
      <c r="H46" s="263"/>
      <c r="J46" s="9">
        <f t="shared" si="0"/>
        <v>0</v>
      </c>
    </row>
    <row r="47" spans="2:11" s="9" customFormat="1" ht="12.6" customHeight="1">
      <c r="B47" s="684"/>
      <c r="C47" s="685"/>
      <c r="D47" s="263"/>
      <c r="E47" s="684"/>
      <c r="F47" s="686"/>
      <c r="G47" s="687"/>
      <c r="H47" s="263"/>
      <c r="J47" s="9">
        <f t="shared" si="0"/>
        <v>0</v>
      </c>
    </row>
    <row r="48" spans="2:11" s="9" customFormat="1" ht="12.6" customHeight="1">
      <c r="B48" s="684"/>
      <c r="C48" s="685"/>
      <c r="D48" s="263"/>
      <c r="E48" s="684"/>
      <c r="F48" s="686"/>
      <c r="G48" s="687"/>
      <c r="H48" s="263"/>
      <c r="J48" s="9">
        <f t="shared" si="0"/>
        <v>0</v>
      </c>
    </row>
    <row r="49" spans="2:17" s="9" customFormat="1" ht="12.6" customHeight="1">
      <c r="B49" s="684"/>
      <c r="C49" s="685"/>
      <c r="D49" s="263"/>
      <c r="E49" s="684"/>
      <c r="F49" s="686"/>
      <c r="G49" s="687"/>
      <c r="H49" s="263"/>
      <c r="J49" s="9">
        <f t="shared" si="0"/>
        <v>0</v>
      </c>
    </row>
    <row r="50" spans="2:17" s="9" customFormat="1" ht="12.6" customHeight="1">
      <c r="B50" s="684"/>
      <c r="C50" s="685"/>
      <c r="D50" s="263"/>
      <c r="E50" s="684"/>
      <c r="F50" s="686"/>
      <c r="G50" s="687"/>
      <c r="H50" s="263"/>
      <c r="J50" s="9">
        <f t="shared" si="0"/>
        <v>0</v>
      </c>
    </row>
    <row r="51" spans="2:17" s="9" customFormat="1" ht="12.6" customHeight="1">
      <c r="B51" s="684"/>
      <c r="C51" s="685"/>
      <c r="D51" s="263"/>
      <c r="E51" s="684"/>
      <c r="F51" s="686"/>
      <c r="G51" s="687"/>
      <c r="H51" s="263"/>
      <c r="J51" s="9">
        <f t="shared" si="0"/>
        <v>0</v>
      </c>
    </row>
    <row r="52" spans="2:17" s="9" customFormat="1" ht="12.6" customHeight="1">
      <c r="B52" s="684"/>
      <c r="C52" s="685"/>
      <c r="D52" s="263"/>
      <c r="E52" s="684"/>
      <c r="F52" s="686"/>
      <c r="G52" s="687"/>
      <c r="H52" s="263"/>
      <c r="J52" s="9">
        <f t="shared" si="0"/>
        <v>0</v>
      </c>
    </row>
    <row r="53" spans="2:17" s="9" customFormat="1" ht="12.6" customHeight="1">
      <c r="B53" s="684"/>
      <c r="C53" s="685"/>
      <c r="D53" s="263"/>
      <c r="E53" s="684"/>
      <c r="F53" s="686"/>
      <c r="G53" s="687"/>
      <c r="H53" s="263"/>
      <c r="J53" s="9">
        <f t="shared" si="0"/>
        <v>0</v>
      </c>
    </row>
    <row r="54" spans="2:17" s="9" customFormat="1" ht="12.6" customHeight="1">
      <c r="B54" s="684"/>
      <c r="C54" s="685"/>
      <c r="D54" s="263"/>
      <c r="E54" s="684"/>
      <c r="F54" s="686"/>
      <c r="G54" s="687"/>
      <c r="H54" s="263"/>
      <c r="J54" s="9">
        <f t="shared" si="0"/>
        <v>0</v>
      </c>
    </row>
    <row r="55" spans="2:17" s="9" customFormat="1" ht="12.6" customHeight="1">
      <c r="B55" s="684"/>
      <c r="C55" s="685"/>
      <c r="D55" s="263"/>
      <c r="E55" s="684"/>
      <c r="F55" s="686"/>
      <c r="G55" s="687"/>
      <c r="H55" s="263"/>
      <c r="J55" s="9">
        <f t="shared" si="0"/>
        <v>0</v>
      </c>
    </row>
    <row r="56" spans="2:17" s="9" customFormat="1" ht="12.6" customHeight="1">
      <c r="B56" s="684"/>
      <c r="C56" s="685"/>
      <c r="D56" s="263"/>
      <c r="E56" s="684"/>
      <c r="F56" s="686"/>
      <c r="G56" s="687"/>
      <c r="H56" s="263"/>
      <c r="J56" s="9">
        <f t="shared" si="0"/>
        <v>0</v>
      </c>
    </row>
    <row r="57" spans="2:17" s="9" customFormat="1" ht="12.6" customHeight="1">
      <c r="B57" s="684"/>
      <c r="C57" s="685"/>
      <c r="D57" s="263"/>
      <c r="E57" s="684"/>
      <c r="F57" s="686"/>
      <c r="G57" s="687"/>
      <c r="H57" s="263"/>
      <c r="J57" s="9">
        <f t="shared" si="0"/>
        <v>0</v>
      </c>
    </row>
    <row r="58" spans="2:17" s="9" customFormat="1" ht="12.6" customHeight="1">
      <c r="B58" s="684"/>
      <c r="C58" s="685"/>
      <c r="D58" s="263"/>
      <c r="E58" s="684"/>
      <c r="F58" s="686"/>
      <c r="G58" s="687"/>
      <c r="H58" s="263"/>
      <c r="J58" s="9">
        <f t="shared" si="0"/>
        <v>0</v>
      </c>
    </row>
    <row r="59" spans="2:17" s="9" customFormat="1" ht="12.6" customHeight="1">
      <c r="B59" s="684"/>
      <c r="C59" s="685"/>
      <c r="D59" s="263"/>
      <c r="E59" s="684"/>
      <c r="F59" s="686"/>
      <c r="G59" s="687"/>
      <c r="H59" s="263"/>
      <c r="J59" s="9">
        <f t="shared" si="0"/>
        <v>0</v>
      </c>
    </row>
    <row r="60" spans="2:17" s="9" customFormat="1" ht="12.6" customHeight="1">
      <c r="B60" s="684"/>
      <c r="C60" s="685"/>
      <c r="D60" s="263"/>
      <c r="E60" s="684"/>
      <c r="F60" s="686"/>
      <c r="G60" s="687"/>
      <c r="H60" s="263"/>
      <c r="J60" s="9">
        <f t="shared" si="0"/>
        <v>0</v>
      </c>
    </row>
    <row r="61" spans="2:17" ht="14.25">
      <c r="B61" s="27" t="str">
        <f>+Textes!A96</f>
        <v>Total Wegfuhr</v>
      </c>
      <c r="C61" s="270">
        <f>IF(SUM(C8:C60)=0,0,SUM(C8:C60))</f>
        <v>0</v>
      </c>
      <c r="D61" s="273">
        <f>IF(SUM(D8:D60)=0,0,SUM(D8:D60))</f>
        <v>0</v>
      </c>
      <c r="E61" s="27" t="str">
        <f>+B61</f>
        <v>Total Wegfuhr</v>
      </c>
      <c r="F61" s="270">
        <f>IF(SUM(F8:F60)=0,0,SUM(F8:F60))</f>
        <v>0</v>
      </c>
      <c r="G61" s="270">
        <f>IF(J61=0,0,J61)</f>
        <v>0</v>
      </c>
      <c r="H61" s="271"/>
      <c r="J61" s="1">
        <f>SUM(J8:J60)</f>
        <v>0</v>
      </c>
      <c r="L61" s="9"/>
      <c r="M61" s="9"/>
      <c r="N61" s="9"/>
      <c r="O61" s="9"/>
      <c r="P61" s="9"/>
      <c r="Q61" s="9"/>
    </row>
    <row r="62" spans="2:17" ht="18" customHeight="1">
      <c r="B62" s="107" t="str">
        <f>IF(Textes!G2=1,Textes!A99,"")</f>
        <v/>
      </c>
      <c r="C62" s="125"/>
      <c r="D62" s="125"/>
      <c r="E62" s="107"/>
      <c r="F62" s="125"/>
      <c r="G62" s="125"/>
      <c r="H62" s="125"/>
    </row>
    <row r="63" spans="2:17" ht="4.5" customHeight="1">
      <c r="C63" s="126"/>
      <c r="D63" s="126"/>
      <c r="F63" s="126"/>
      <c r="H63" s="126"/>
    </row>
    <row r="64" spans="2:17" ht="21" customHeight="1">
      <c r="B64" s="29" t="str">
        <f>+Textes!A70</f>
        <v>Kantonale Kontrollstelle, Datum:</v>
      </c>
      <c r="C64" s="30"/>
      <c r="D64" s="30"/>
      <c r="E64" s="30"/>
      <c r="F64" s="30" t="str">
        <f>+Textes!A71</f>
        <v>Unterschrift:</v>
      </c>
      <c r="G64" s="30"/>
      <c r="H64" s="31"/>
    </row>
    <row r="65" spans="2:10" ht="4.5" customHeight="1">
      <c r="E65" s="127"/>
      <c r="J65" s="1" t="s">
        <v>447</v>
      </c>
    </row>
    <row r="66" spans="2:10" ht="21" customHeight="1">
      <c r="B66" s="29" t="str">
        <f>+Textes!A74</f>
        <v>Betriebsleiter, Datum:</v>
      </c>
      <c r="C66" s="30"/>
      <c r="D66" s="30"/>
      <c r="E66" s="30"/>
      <c r="F66" s="30" t="str">
        <f>+Textes!A71</f>
        <v>Unterschrift:</v>
      </c>
      <c r="G66" s="30"/>
      <c r="H66" s="31"/>
    </row>
    <row r="67" spans="2:10" ht="6" customHeight="1">
      <c r="F67" s="10"/>
      <c r="G67" s="10"/>
    </row>
    <row r="68" spans="2:10" ht="9.9499999999999993" customHeight="1">
      <c r="F68" s="10"/>
      <c r="G68" s="10"/>
    </row>
    <row r="69" spans="2:10">
      <c r="F69" s="10"/>
      <c r="G69" s="10"/>
    </row>
  </sheetData>
  <sheetProtection password="8C69" sheet="1" scenarios="1"/>
  <phoneticPr fontId="28" type="noConversion"/>
  <pageMargins left="0.59055118110236227" right="0.39370078740157483" top="0.39370078740157483" bottom="0.32" header="0.11811023622047245" footer="0.11811023622047245"/>
  <pageSetup paperSize="9" scale="92" orientation="portrait" r:id="rId1"/>
  <headerFooter alignWithMargins="0">
    <oddFooter>&amp;C&amp;9&amp;F&amp;L&amp;"Arial,Fett"&amp;11AGRIDEA &amp;"Arial,Standard"&amp;9Impex, Version 2.6&amp;R&amp;"Arial,Standard"&amp;9&amp;D / 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6" r:id="rId4" name="cboAusbeute">
              <controlPr defaultSize="0" autoFill="0" autoLine="0" autoPict="0">
                <anchor moveWithCells="1">
                  <from>
                    <xdr:col>6</xdr:col>
                    <xdr:colOff>238125</xdr:colOff>
                    <xdr:row>1</xdr:row>
                    <xdr:rowOff>85725</xdr:rowOff>
                  </from>
                  <to>
                    <xdr:col>7</xdr:col>
                    <xdr:colOff>904875</xdr:colOff>
                    <xdr:row>2</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B1:Q69"/>
  <sheetViews>
    <sheetView showGridLines="0" showRowColHeaders="0" showZeros="0" workbookViewId="0">
      <selection activeCell="B9" sqref="B9"/>
    </sheetView>
  </sheetViews>
  <sheetFormatPr baseColWidth="10" defaultColWidth="11.42578125" defaultRowHeight="12.75"/>
  <cols>
    <col min="1" max="1" width="1.42578125" style="1" customWidth="1"/>
    <col min="2" max="8" width="13.5703125" style="1" customWidth="1"/>
    <col min="9" max="9" width="1.42578125" style="1" customWidth="1"/>
    <col min="10" max="10" width="16.5703125" style="1" hidden="1" customWidth="1"/>
    <col min="11" max="16384" width="11.42578125" style="1"/>
  </cols>
  <sheetData>
    <row r="1" spans="2:17" ht="39.950000000000003" customHeight="1">
      <c r="D1" s="186" t="str">
        <f>+A1a!D1</f>
        <v>Impex:   Mastpoulets</v>
      </c>
      <c r="H1" s="187" t="str">
        <f>"A2c: "&amp;Textes!A86</f>
        <v>A2c: Tierausgang</v>
      </c>
    </row>
    <row r="2" spans="2:17" ht="20.100000000000001" customHeight="1">
      <c r="D2" s="186"/>
      <c r="F2" s="190"/>
      <c r="H2" s="187"/>
      <c r="J2" s="376">
        <v>1</v>
      </c>
    </row>
    <row r="3" spans="2:17" ht="15">
      <c r="B3" s="679" t="str">
        <f>Inv!C4 &amp; IF(Inv!D4=0,"",Inv!D4)</f>
        <v xml:space="preserve">Betriebs-Nr:    </v>
      </c>
      <c r="C3" s="191"/>
      <c r="E3" s="679" t="str">
        <f>Inv!C5 &amp; IF(Inv!D5=0,"",Inv!D6 &amp; " " &amp; Inv!D5)</f>
        <v xml:space="preserve">Name:    </v>
      </c>
      <c r="F3" s="45"/>
      <c r="G3" s="8"/>
      <c r="H3" s="225"/>
    </row>
    <row r="4" spans="2:17" ht="16.5" customHeight="1">
      <c r="B4" s="1" t="str">
        <f>+Textes!A89</f>
        <v xml:space="preserve"> Mit Angabe der Tierverkäufe, der Eigenversorgung und der Abgänge</v>
      </c>
      <c r="G4" s="118"/>
      <c r="H4" s="40"/>
      <c r="J4" s="1">
        <f>IF($J$2=3,Textes!$O$5,IF($J$2=2,Textes!$O$4,Textes!$O$3))</f>
        <v>0.79</v>
      </c>
    </row>
    <row r="5" spans="2:17" ht="3.95" customHeight="1"/>
    <row r="6" spans="2:17" ht="15">
      <c r="B6" s="182"/>
      <c r="C6" s="177" t="str">
        <f>IF(Textes!G2=1,Textes!A90,Textes!A92)</f>
        <v>Wegfuhr Tiere</v>
      </c>
      <c r="D6" s="178"/>
      <c r="E6" s="176"/>
      <c r="F6" s="183" t="str">
        <f>IF(Textes!G2=1,Textes!A91,"")</f>
        <v/>
      </c>
      <c r="G6" s="183"/>
      <c r="H6" s="123"/>
      <c r="J6" s="1" t="s">
        <v>445</v>
      </c>
    </row>
    <row r="7" spans="2:17" ht="14.25">
      <c r="B7" s="119" t="str">
        <f>+Textes!A93</f>
        <v>Datum</v>
      </c>
      <c r="C7" s="120" t="str">
        <f>+Textes!A94</f>
        <v>Stück</v>
      </c>
      <c r="D7" s="122" t="str">
        <f>+Textes!A95</f>
        <v>kg LG total</v>
      </c>
      <c r="E7" s="119" t="str">
        <f>IF(Textes!G2=1,B7,"")</f>
        <v/>
      </c>
      <c r="F7" s="120" t="str">
        <f>IF(Textes!G2=1,C7,"")</f>
        <v/>
      </c>
      <c r="G7" s="121" t="str">
        <f>IF(Textes!G2=1,D7,"")</f>
        <v/>
      </c>
      <c r="H7" s="122" t="str">
        <f>IF(Textes!G2=1,Textes!A88,"")</f>
        <v/>
      </c>
      <c r="J7" s="1" t="s">
        <v>446</v>
      </c>
    </row>
    <row r="8" spans="2:17" s="9" customFormat="1" ht="12.6" hidden="1" customHeight="1">
      <c r="B8" s="684"/>
      <c r="C8" s="685"/>
      <c r="D8" s="263"/>
      <c r="E8" s="684"/>
      <c r="F8" s="686"/>
      <c r="G8" s="687"/>
      <c r="H8" s="263"/>
      <c r="J8" s="9">
        <f>IF(G8&lt;(H8/$J$4),H8/$J$4,G8)</f>
        <v>0</v>
      </c>
      <c r="P8" s="1"/>
      <c r="Q8" s="1"/>
    </row>
    <row r="9" spans="2:17" s="9" customFormat="1" ht="12.6" customHeight="1">
      <c r="B9" s="684"/>
      <c r="C9" s="685"/>
      <c r="D9" s="263"/>
      <c r="E9" s="684"/>
      <c r="F9" s="686"/>
      <c r="G9" s="687"/>
      <c r="H9" s="263"/>
      <c r="J9" s="9">
        <f t="shared" ref="J9:J60" si="0">IF(G9&lt;(H9/$J$4),H9/$J$4,G9)</f>
        <v>0</v>
      </c>
      <c r="P9" s="1"/>
      <c r="Q9" s="1"/>
    </row>
    <row r="10" spans="2:17" s="9" customFormat="1" ht="12.6" customHeight="1">
      <c r="B10" s="684"/>
      <c r="C10" s="685"/>
      <c r="D10" s="263"/>
      <c r="E10" s="684"/>
      <c r="F10" s="686"/>
      <c r="G10" s="687"/>
      <c r="H10" s="263"/>
      <c r="J10" s="9">
        <f t="shared" si="0"/>
        <v>0</v>
      </c>
    </row>
    <row r="11" spans="2:17" s="9" customFormat="1" ht="12.6" customHeight="1">
      <c r="B11" s="684"/>
      <c r="C11" s="685"/>
      <c r="D11" s="263"/>
      <c r="E11" s="684"/>
      <c r="F11" s="686"/>
      <c r="G11" s="687"/>
      <c r="H11" s="263"/>
      <c r="J11" s="9">
        <f t="shared" si="0"/>
        <v>0</v>
      </c>
    </row>
    <row r="12" spans="2:17" s="9" customFormat="1" ht="12.6" customHeight="1">
      <c r="B12" s="684"/>
      <c r="C12" s="685"/>
      <c r="D12" s="263"/>
      <c r="E12" s="684"/>
      <c r="F12" s="686"/>
      <c r="G12" s="687"/>
      <c r="H12" s="263"/>
      <c r="J12" s="9">
        <f t="shared" si="0"/>
        <v>0</v>
      </c>
    </row>
    <row r="13" spans="2:17" s="9" customFormat="1" ht="12.6" customHeight="1">
      <c r="B13" s="684"/>
      <c r="C13" s="685"/>
      <c r="D13" s="263"/>
      <c r="E13" s="684"/>
      <c r="F13" s="686"/>
      <c r="G13" s="687"/>
      <c r="H13" s="263"/>
      <c r="J13" s="9">
        <f t="shared" si="0"/>
        <v>0</v>
      </c>
    </row>
    <row r="14" spans="2:17" s="9" customFormat="1" ht="12.6" customHeight="1">
      <c r="B14" s="684"/>
      <c r="C14" s="685"/>
      <c r="D14" s="263"/>
      <c r="E14" s="684"/>
      <c r="F14" s="686"/>
      <c r="G14" s="687"/>
      <c r="H14" s="263"/>
      <c r="J14" s="9">
        <f t="shared" si="0"/>
        <v>0</v>
      </c>
    </row>
    <row r="15" spans="2:17" s="9" customFormat="1" ht="12.6" customHeight="1">
      <c r="B15" s="684"/>
      <c r="C15" s="685"/>
      <c r="D15" s="263"/>
      <c r="E15" s="684"/>
      <c r="F15" s="686"/>
      <c r="G15" s="687"/>
      <c r="H15" s="263"/>
      <c r="J15" s="9">
        <f t="shared" si="0"/>
        <v>0</v>
      </c>
      <c r="P15" s="1"/>
      <c r="Q15" s="1"/>
    </row>
    <row r="16" spans="2:17" s="9" customFormat="1" ht="12.6" customHeight="1">
      <c r="B16" s="684"/>
      <c r="C16" s="685"/>
      <c r="D16" s="263"/>
      <c r="E16" s="684"/>
      <c r="F16" s="686"/>
      <c r="G16" s="687"/>
      <c r="H16" s="263"/>
      <c r="J16" s="9">
        <f t="shared" si="0"/>
        <v>0</v>
      </c>
    </row>
    <row r="17" spans="2:17" s="9" customFormat="1" ht="12.6" customHeight="1">
      <c r="B17" s="684"/>
      <c r="C17" s="685"/>
      <c r="D17" s="263"/>
      <c r="E17" s="684"/>
      <c r="F17" s="686"/>
      <c r="G17" s="687"/>
      <c r="H17" s="263"/>
      <c r="J17" s="9">
        <f t="shared" si="0"/>
        <v>0</v>
      </c>
    </row>
    <row r="18" spans="2:17" s="9" customFormat="1" ht="12.6" customHeight="1">
      <c r="B18" s="684"/>
      <c r="C18" s="685"/>
      <c r="D18" s="263"/>
      <c r="E18" s="684"/>
      <c r="F18" s="686"/>
      <c r="G18" s="687"/>
      <c r="H18" s="263"/>
      <c r="J18" s="9">
        <f t="shared" si="0"/>
        <v>0</v>
      </c>
      <c r="P18" s="1"/>
      <c r="Q18" s="1"/>
    </row>
    <row r="19" spans="2:17" s="9" customFormat="1" ht="12.6" customHeight="1">
      <c r="B19" s="684"/>
      <c r="C19" s="685"/>
      <c r="D19" s="263"/>
      <c r="E19" s="684"/>
      <c r="F19" s="686"/>
      <c r="G19" s="687"/>
      <c r="H19" s="263"/>
      <c r="J19" s="9">
        <f t="shared" si="0"/>
        <v>0</v>
      </c>
      <c r="P19" s="1"/>
      <c r="Q19" s="1"/>
    </row>
    <row r="20" spans="2:17" s="9" customFormat="1" ht="12.6" customHeight="1">
      <c r="B20" s="684"/>
      <c r="C20" s="685"/>
      <c r="D20" s="263"/>
      <c r="E20" s="684"/>
      <c r="F20" s="686"/>
      <c r="G20" s="687"/>
      <c r="H20" s="263"/>
      <c r="J20" s="9">
        <f t="shared" si="0"/>
        <v>0</v>
      </c>
      <c r="P20" s="1"/>
      <c r="Q20" s="1"/>
    </row>
    <row r="21" spans="2:17" s="9" customFormat="1" ht="12.6" customHeight="1">
      <c r="B21" s="684"/>
      <c r="C21" s="685"/>
      <c r="D21" s="263"/>
      <c r="E21" s="684"/>
      <c r="F21" s="686"/>
      <c r="G21" s="687"/>
      <c r="H21" s="263"/>
      <c r="J21" s="9">
        <f t="shared" si="0"/>
        <v>0</v>
      </c>
      <c r="P21" s="1"/>
      <c r="Q21" s="1"/>
    </row>
    <row r="22" spans="2:17" s="9" customFormat="1" ht="12.6" customHeight="1">
      <c r="B22" s="684"/>
      <c r="C22" s="685"/>
      <c r="D22" s="263"/>
      <c r="E22" s="684"/>
      <c r="F22" s="686"/>
      <c r="G22" s="687"/>
      <c r="H22" s="263"/>
      <c r="J22" s="9">
        <f t="shared" si="0"/>
        <v>0</v>
      </c>
      <c r="P22" s="1"/>
      <c r="Q22" s="1"/>
    </row>
    <row r="23" spans="2:17" s="9" customFormat="1" ht="12.6" customHeight="1">
      <c r="B23" s="684"/>
      <c r="C23" s="685"/>
      <c r="D23" s="263"/>
      <c r="E23" s="684"/>
      <c r="F23" s="686"/>
      <c r="G23" s="687"/>
      <c r="H23" s="263"/>
      <c r="J23" s="9">
        <f t="shared" si="0"/>
        <v>0</v>
      </c>
    </row>
    <row r="24" spans="2:17" s="9" customFormat="1" ht="12.6" customHeight="1">
      <c r="B24" s="684"/>
      <c r="C24" s="685"/>
      <c r="D24" s="263"/>
      <c r="E24" s="684"/>
      <c r="F24" s="686"/>
      <c r="G24" s="687"/>
      <c r="H24" s="263"/>
      <c r="J24" s="9">
        <f t="shared" si="0"/>
        <v>0</v>
      </c>
    </row>
    <row r="25" spans="2:17" s="9" customFormat="1" ht="12.6" customHeight="1">
      <c r="B25" s="684"/>
      <c r="C25" s="685"/>
      <c r="D25" s="263"/>
      <c r="E25" s="684"/>
      <c r="F25" s="686"/>
      <c r="G25" s="687"/>
      <c r="H25" s="263"/>
      <c r="J25" s="9">
        <f t="shared" si="0"/>
        <v>0</v>
      </c>
    </row>
    <row r="26" spans="2:17" s="9" customFormat="1" ht="12.6" customHeight="1">
      <c r="B26" s="684"/>
      <c r="C26" s="685"/>
      <c r="D26" s="263"/>
      <c r="E26" s="684"/>
      <c r="F26" s="686"/>
      <c r="G26" s="687"/>
      <c r="H26" s="263"/>
      <c r="J26" s="9">
        <f t="shared" si="0"/>
        <v>0</v>
      </c>
    </row>
    <row r="27" spans="2:17" s="9" customFormat="1" ht="12.6" customHeight="1">
      <c r="B27" s="684"/>
      <c r="C27" s="685"/>
      <c r="D27" s="263"/>
      <c r="E27" s="684"/>
      <c r="F27" s="686"/>
      <c r="G27" s="687"/>
      <c r="H27" s="263"/>
      <c r="J27" s="9">
        <f t="shared" si="0"/>
        <v>0</v>
      </c>
    </row>
    <row r="28" spans="2:17" s="9" customFormat="1" ht="12.6" customHeight="1">
      <c r="B28" s="684"/>
      <c r="C28" s="685"/>
      <c r="D28" s="263"/>
      <c r="E28" s="684"/>
      <c r="F28" s="686"/>
      <c r="G28" s="687"/>
      <c r="H28" s="263"/>
      <c r="J28" s="9">
        <f t="shared" si="0"/>
        <v>0</v>
      </c>
    </row>
    <row r="29" spans="2:17" s="9" customFormat="1" ht="12.6" customHeight="1">
      <c r="B29" s="684"/>
      <c r="C29" s="685"/>
      <c r="D29" s="263"/>
      <c r="E29" s="684"/>
      <c r="F29" s="686"/>
      <c r="G29" s="687"/>
      <c r="H29" s="263"/>
      <c r="J29" s="9">
        <f t="shared" si="0"/>
        <v>0</v>
      </c>
    </row>
    <row r="30" spans="2:17" s="9" customFormat="1" ht="12.6" customHeight="1">
      <c r="B30" s="684"/>
      <c r="C30" s="685"/>
      <c r="D30" s="263"/>
      <c r="E30" s="684"/>
      <c r="F30" s="686"/>
      <c r="G30" s="687"/>
      <c r="H30" s="263"/>
      <c r="J30" s="9">
        <f t="shared" si="0"/>
        <v>0</v>
      </c>
    </row>
    <row r="31" spans="2:17" s="9" customFormat="1" ht="12.6" customHeight="1">
      <c r="B31" s="684"/>
      <c r="C31" s="685"/>
      <c r="D31" s="263"/>
      <c r="E31" s="684"/>
      <c r="F31" s="686"/>
      <c r="G31" s="687"/>
      <c r="H31" s="263"/>
      <c r="J31" s="9">
        <f t="shared" si="0"/>
        <v>0</v>
      </c>
    </row>
    <row r="32" spans="2:17" s="9" customFormat="1" ht="12.6" customHeight="1">
      <c r="B32" s="684"/>
      <c r="C32" s="685"/>
      <c r="D32" s="263"/>
      <c r="E32" s="684"/>
      <c r="F32" s="686"/>
      <c r="G32" s="687"/>
      <c r="H32" s="263"/>
      <c r="J32" s="9">
        <f t="shared" si="0"/>
        <v>0</v>
      </c>
    </row>
    <row r="33" spans="2:11" s="9" customFormat="1" ht="12.6" customHeight="1">
      <c r="B33" s="684"/>
      <c r="C33" s="685"/>
      <c r="D33" s="263"/>
      <c r="E33" s="684"/>
      <c r="F33" s="686"/>
      <c r="G33" s="687"/>
      <c r="H33" s="263"/>
      <c r="J33" s="9">
        <f t="shared" si="0"/>
        <v>0</v>
      </c>
    </row>
    <row r="34" spans="2:11" s="9" customFormat="1" ht="12.6" customHeight="1">
      <c r="B34" s="684"/>
      <c r="C34" s="685"/>
      <c r="D34" s="263"/>
      <c r="E34" s="684"/>
      <c r="F34" s="686"/>
      <c r="G34" s="687"/>
      <c r="H34" s="263"/>
      <c r="J34" s="9">
        <f t="shared" si="0"/>
        <v>0</v>
      </c>
    </row>
    <row r="35" spans="2:11" s="9" customFormat="1" ht="12.6" customHeight="1">
      <c r="B35" s="684"/>
      <c r="C35" s="685"/>
      <c r="D35" s="263"/>
      <c r="E35" s="684"/>
      <c r="F35" s="686"/>
      <c r="G35" s="687"/>
      <c r="H35" s="263"/>
      <c r="J35" s="9">
        <f t="shared" si="0"/>
        <v>0</v>
      </c>
    </row>
    <row r="36" spans="2:11" s="9" customFormat="1" ht="12.6" customHeight="1">
      <c r="B36" s="684"/>
      <c r="C36" s="685"/>
      <c r="D36" s="263"/>
      <c r="E36" s="684"/>
      <c r="F36" s="686"/>
      <c r="G36" s="687"/>
      <c r="H36" s="263"/>
      <c r="J36" s="9">
        <f t="shared" si="0"/>
        <v>0</v>
      </c>
    </row>
    <row r="37" spans="2:11" s="9" customFormat="1" ht="12.6" customHeight="1">
      <c r="B37" s="684"/>
      <c r="C37" s="685"/>
      <c r="D37" s="263"/>
      <c r="E37" s="684"/>
      <c r="F37" s="686"/>
      <c r="G37" s="687"/>
      <c r="H37" s="263"/>
      <c r="J37" s="9">
        <f t="shared" si="0"/>
        <v>0</v>
      </c>
    </row>
    <row r="38" spans="2:11" s="9" customFormat="1" ht="12.6" customHeight="1">
      <c r="B38" s="684"/>
      <c r="C38" s="685"/>
      <c r="D38" s="263"/>
      <c r="E38" s="684"/>
      <c r="F38" s="686"/>
      <c r="G38" s="687"/>
      <c r="H38" s="263"/>
      <c r="J38" s="9">
        <f t="shared" si="0"/>
        <v>0</v>
      </c>
    </row>
    <row r="39" spans="2:11" s="9" customFormat="1" ht="12.6" customHeight="1">
      <c r="B39" s="684"/>
      <c r="C39" s="685"/>
      <c r="D39" s="263"/>
      <c r="E39" s="684"/>
      <c r="F39" s="686"/>
      <c r="G39" s="687"/>
      <c r="H39" s="263"/>
      <c r="J39" s="9">
        <f t="shared" si="0"/>
        <v>0</v>
      </c>
    </row>
    <row r="40" spans="2:11" s="9" customFormat="1" ht="12.6" customHeight="1">
      <c r="B40" s="684"/>
      <c r="C40" s="685"/>
      <c r="D40" s="263"/>
      <c r="E40" s="684"/>
      <c r="F40" s="686"/>
      <c r="G40" s="687"/>
      <c r="H40" s="263"/>
      <c r="J40" s="9">
        <f t="shared" si="0"/>
        <v>0</v>
      </c>
    </row>
    <row r="41" spans="2:11" s="9" customFormat="1" ht="12.6" customHeight="1">
      <c r="B41" s="684"/>
      <c r="C41" s="685"/>
      <c r="D41" s="263"/>
      <c r="E41" s="684"/>
      <c r="F41" s="686"/>
      <c r="G41" s="687"/>
      <c r="H41" s="263"/>
      <c r="J41" s="9">
        <f t="shared" si="0"/>
        <v>0</v>
      </c>
    </row>
    <row r="42" spans="2:11" s="9" customFormat="1" ht="12.6" customHeight="1">
      <c r="B42" s="684"/>
      <c r="C42" s="685"/>
      <c r="D42" s="263"/>
      <c r="E42" s="684"/>
      <c r="F42" s="686"/>
      <c r="G42" s="687"/>
      <c r="H42" s="263"/>
      <c r="J42" s="9">
        <f t="shared" si="0"/>
        <v>0</v>
      </c>
    </row>
    <row r="43" spans="2:11" s="9" customFormat="1" ht="12.6" customHeight="1">
      <c r="B43" s="684"/>
      <c r="C43" s="685"/>
      <c r="D43" s="263"/>
      <c r="E43" s="684"/>
      <c r="F43" s="686"/>
      <c r="G43" s="687"/>
      <c r="H43" s="263"/>
      <c r="J43" s="9">
        <f t="shared" si="0"/>
        <v>0</v>
      </c>
    </row>
    <row r="44" spans="2:11" s="9" customFormat="1" ht="12.6" customHeight="1">
      <c r="B44" s="684"/>
      <c r="C44" s="685"/>
      <c r="D44" s="263"/>
      <c r="E44" s="684"/>
      <c r="F44" s="686"/>
      <c r="G44" s="687"/>
      <c r="H44" s="263"/>
      <c r="J44" s="9">
        <f t="shared" si="0"/>
        <v>0</v>
      </c>
    </row>
    <row r="45" spans="2:11" s="9" customFormat="1" ht="12.6" customHeight="1">
      <c r="B45" s="684"/>
      <c r="C45" s="685"/>
      <c r="D45" s="263"/>
      <c r="E45" s="684"/>
      <c r="F45" s="686"/>
      <c r="G45" s="687"/>
      <c r="H45" s="263"/>
      <c r="J45" s="9">
        <f t="shared" si="0"/>
        <v>0</v>
      </c>
      <c r="K45" s="124"/>
    </row>
    <row r="46" spans="2:11" s="9" customFormat="1" ht="12.6" customHeight="1">
      <c r="B46" s="684"/>
      <c r="C46" s="685"/>
      <c r="D46" s="263"/>
      <c r="E46" s="684"/>
      <c r="F46" s="686"/>
      <c r="G46" s="687"/>
      <c r="H46" s="263"/>
      <c r="J46" s="9">
        <f t="shared" si="0"/>
        <v>0</v>
      </c>
    </row>
    <row r="47" spans="2:11" s="9" customFormat="1" ht="12.6" customHeight="1">
      <c r="B47" s="684"/>
      <c r="C47" s="685"/>
      <c r="D47" s="263"/>
      <c r="E47" s="684"/>
      <c r="F47" s="686"/>
      <c r="G47" s="687"/>
      <c r="H47" s="263"/>
      <c r="J47" s="9">
        <f t="shared" si="0"/>
        <v>0</v>
      </c>
    </row>
    <row r="48" spans="2:11" s="9" customFormat="1" ht="12.6" customHeight="1">
      <c r="B48" s="684"/>
      <c r="C48" s="685"/>
      <c r="D48" s="263"/>
      <c r="E48" s="684"/>
      <c r="F48" s="686"/>
      <c r="G48" s="687"/>
      <c r="H48" s="263"/>
      <c r="J48" s="9">
        <f t="shared" si="0"/>
        <v>0</v>
      </c>
    </row>
    <row r="49" spans="2:17" s="9" customFormat="1" ht="12.6" customHeight="1">
      <c r="B49" s="684"/>
      <c r="C49" s="685"/>
      <c r="D49" s="263"/>
      <c r="E49" s="684"/>
      <c r="F49" s="686"/>
      <c r="G49" s="687"/>
      <c r="H49" s="263"/>
      <c r="J49" s="9">
        <f t="shared" si="0"/>
        <v>0</v>
      </c>
    </row>
    <row r="50" spans="2:17" s="9" customFormat="1" ht="12.6" customHeight="1">
      <c r="B50" s="684"/>
      <c r="C50" s="685"/>
      <c r="D50" s="263"/>
      <c r="E50" s="684"/>
      <c r="F50" s="686"/>
      <c r="G50" s="687"/>
      <c r="H50" s="263"/>
      <c r="J50" s="9">
        <f t="shared" si="0"/>
        <v>0</v>
      </c>
    </row>
    <row r="51" spans="2:17" s="9" customFormat="1" ht="12.6" customHeight="1">
      <c r="B51" s="684"/>
      <c r="C51" s="685"/>
      <c r="D51" s="263"/>
      <c r="E51" s="684"/>
      <c r="F51" s="686"/>
      <c r="G51" s="687"/>
      <c r="H51" s="263"/>
      <c r="J51" s="9">
        <f t="shared" si="0"/>
        <v>0</v>
      </c>
    </row>
    <row r="52" spans="2:17" s="9" customFormat="1" ht="12.6" customHeight="1">
      <c r="B52" s="684"/>
      <c r="C52" s="685"/>
      <c r="D52" s="263"/>
      <c r="E52" s="684"/>
      <c r="F52" s="686"/>
      <c r="G52" s="687"/>
      <c r="H52" s="263"/>
      <c r="J52" s="9">
        <f t="shared" si="0"/>
        <v>0</v>
      </c>
    </row>
    <row r="53" spans="2:17" s="9" customFormat="1" ht="12.6" customHeight="1">
      <c r="B53" s="684"/>
      <c r="C53" s="685"/>
      <c r="D53" s="263"/>
      <c r="E53" s="684"/>
      <c r="F53" s="686"/>
      <c r="G53" s="687"/>
      <c r="H53" s="263"/>
      <c r="J53" s="9">
        <f t="shared" si="0"/>
        <v>0</v>
      </c>
    </row>
    <row r="54" spans="2:17" s="9" customFormat="1" ht="12.6" customHeight="1">
      <c r="B54" s="684"/>
      <c r="C54" s="685"/>
      <c r="D54" s="263"/>
      <c r="E54" s="684"/>
      <c r="F54" s="686"/>
      <c r="G54" s="687"/>
      <c r="H54" s="263"/>
      <c r="J54" s="9">
        <f t="shared" si="0"/>
        <v>0</v>
      </c>
    </row>
    <row r="55" spans="2:17" s="9" customFormat="1" ht="12.6" customHeight="1">
      <c r="B55" s="684"/>
      <c r="C55" s="685"/>
      <c r="D55" s="263"/>
      <c r="E55" s="684"/>
      <c r="F55" s="686"/>
      <c r="G55" s="687"/>
      <c r="H55" s="263"/>
      <c r="J55" s="9">
        <f t="shared" si="0"/>
        <v>0</v>
      </c>
    </row>
    <row r="56" spans="2:17" s="9" customFormat="1" ht="12.6" customHeight="1">
      <c r="B56" s="684"/>
      <c r="C56" s="685"/>
      <c r="D56" s="263"/>
      <c r="E56" s="684"/>
      <c r="F56" s="686"/>
      <c r="G56" s="687"/>
      <c r="H56" s="263"/>
      <c r="J56" s="9">
        <f t="shared" si="0"/>
        <v>0</v>
      </c>
    </row>
    <row r="57" spans="2:17" s="9" customFormat="1" ht="12.6" customHeight="1">
      <c r="B57" s="684"/>
      <c r="C57" s="685"/>
      <c r="D57" s="263"/>
      <c r="E57" s="684"/>
      <c r="F57" s="686"/>
      <c r="G57" s="687"/>
      <c r="H57" s="263"/>
      <c r="J57" s="9">
        <f t="shared" si="0"/>
        <v>0</v>
      </c>
    </row>
    <row r="58" spans="2:17" s="9" customFormat="1" ht="12.6" customHeight="1">
      <c r="B58" s="684"/>
      <c r="C58" s="685"/>
      <c r="D58" s="263"/>
      <c r="E58" s="684"/>
      <c r="F58" s="686"/>
      <c r="G58" s="687"/>
      <c r="H58" s="263"/>
      <c r="J58" s="9">
        <f t="shared" si="0"/>
        <v>0</v>
      </c>
    </row>
    <row r="59" spans="2:17" s="9" customFormat="1" ht="12.6" customHeight="1">
      <c r="B59" s="684"/>
      <c r="C59" s="685"/>
      <c r="D59" s="263"/>
      <c r="E59" s="684"/>
      <c r="F59" s="686"/>
      <c r="G59" s="687"/>
      <c r="H59" s="263"/>
      <c r="J59" s="9">
        <f t="shared" si="0"/>
        <v>0</v>
      </c>
    </row>
    <row r="60" spans="2:17" s="9" customFormat="1" ht="12.6" customHeight="1">
      <c r="B60" s="684"/>
      <c r="C60" s="685"/>
      <c r="D60" s="263"/>
      <c r="E60" s="684"/>
      <c r="F60" s="686"/>
      <c r="G60" s="687"/>
      <c r="H60" s="263"/>
      <c r="J60" s="9">
        <f t="shared" si="0"/>
        <v>0</v>
      </c>
    </row>
    <row r="61" spans="2:17" ht="14.25">
      <c r="B61" s="27" t="str">
        <f>+Textes!A96</f>
        <v>Total Wegfuhr</v>
      </c>
      <c r="C61" s="270">
        <f>IF(SUM(C8:C60)=0,0,SUM(C8:C60))</f>
        <v>0</v>
      </c>
      <c r="D61" s="273">
        <f>IF(SUM(D8:D60)=0,0,SUM(D8:D60))</f>
        <v>0</v>
      </c>
      <c r="E61" s="27" t="str">
        <f>+B61</f>
        <v>Total Wegfuhr</v>
      </c>
      <c r="F61" s="270">
        <f>IF(SUM(F8:F60)=0,0,SUM(F8:F60))</f>
        <v>0</v>
      </c>
      <c r="G61" s="270">
        <f>IF(J61=0,0,J61)</f>
        <v>0</v>
      </c>
      <c r="H61" s="271"/>
      <c r="J61" s="1">
        <f>SUM(J8:J60)</f>
        <v>0</v>
      </c>
      <c r="L61" s="9"/>
      <c r="M61" s="9"/>
      <c r="N61" s="9"/>
      <c r="O61" s="9"/>
      <c r="P61" s="9"/>
      <c r="Q61" s="9"/>
    </row>
    <row r="62" spans="2:17" ht="18" customHeight="1">
      <c r="B62" s="107" t="str">
        <f>IF(Textes!G2=1,Textes!A99,"")</f>
        <v/>
      </c>
      <c r="C62" s="125"/>
      <c r="D62" s="125"/>
      <c r="E62" s="107"/>
      <c r="F62" s="125"/>
      <c r="G62" s="125"/>
      <c r="H62" s="125"/>
    </row>
    <row r="63" spans="2:17" ht="4.5" customHeight="1">
      <c r="C63" s="126"/>
      <c r="D63" s="126"/>
      <c r="F63" s="126"/>
      <c r="H63" s="126"/>
    </row>
    <row r="64" spans="2:17" ht="21" customHeight="1">
      <c r="B64" s="29" t="str">
        <f>+Textes!A70</f>
        <v>Kantonale Kontrollstelle, Datum:</v>
      </c>
      <c r="C64" s="30"/>
      <c r="D64" s="30"/>
      <c r="E64" s="30"/>
      <c r="F64" s="30" t="str">
        <f>+Textes!A71</f>
        <v>Unterschrift:</v>
      </c>
      <c r="G64" s="30"/>
      <c r="H64" s="31"/>
    </row>
    <row r="65" spans="2:10" ht="4.5" customHeight="1">
      <c r="E65" s="127"/>
      <c r="J65" s="1" t="s">
        <v>447</v>
      </c>
    </row>
    <row r="66" spans="2:10" ht="21" customHeight="1">
      <c r="B66" s="29" t="str">
        <f>+Textes!A74</f>
        <v>Betriebsleiter, Datum:</v>
      </c>
      <c r="C66" s="30"/>
      <c r="D66" s="30"/>
      <c r="E66" s="30"/>
      <c r="F66" s="30" t="str">
        <f>+Textes!A71</f>
        <v>Unterschrift:</v>
      </c>
      <c r="G66" s="30"/>
      <c r="H66" s="31"/>
    </row>
    <row r="67" spans="2:10" ht="6" customHeight="1">
      <c r="F67" s="10"/>
      <c r="G67" s="10"/>
    </row>
    <row r="68" spans="2:10" ht="9.9499999999999993" customHeight="1">
      <c r="F68" s="10"/>
      <c r="G68" s="10"/>
    </row>
    <row r="69" spans="2:10">
      <c r="F69" s="10"/>
      <c r="G69" s="10"/>
    </row>
  </sheetData>
  <sheetProtection password="8C69" sheet="1" scenarios="1"/>
  <phoneticPr fontId="28" type="noConversion"/>
  <pageMargins left="0.59055118110236227" right="0.39370078740157483" top="0.39370078740157483" bottom="0.32" header="0.11811023622047245" footer="0.11811023622047245"/>
  <pageSetup paperSize="9" scale="92" orientation="portrait" r:id="rId1"/>
  <headerFooter alignWithMargins="0">
    <oddFooter>&amp;C&amp;9&amp;F&amp;L&amp;"Arial,Fett"&amp;11AGRIDEA &amp;"Arial,Standard"&amp;9Impex, Version 2.6&amp;R&amp;"Arial,Standard"&amp;9&amp;D / 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0" r:id="rId4" name="cboAusbeute">
              <controlPr defaultSize="0" autoFill="0" autoLine="0" autoPict="0">
                <anchor moveWithCells="1">
                  <from>
                    <xdr:col>6</xdr:col>
                    <xdr:colOff>238125</xdr:colOff>
                    <xdr:row>1</xdr:row>
                    <xdr:rowOff>85725</xdr:rowOff>
                  </from>
                  <to>
                    <xdr:col>7</xdr:col>
                    <xdr:colOff>904875</xdr:colOff>
                    <xdr:row>2</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B1:Q69"/>
  <sheetViews>
    <sheetView showGridLines="0" showRowColHeaders="0" showZeros="0" workbookViewId="0">
      <selection activeCell="B9" sqref="B9"/>
    </sheetView>
  </sheetViews>
  <sheetFormatPr baseColWidth="10" defaultColWidth="11.42578125" defaultRowHeight="12.75"/>
  <cols>
    <col min="1" max="1" width="1.42578125" style="1" customWidth="1"/>
    <col min="2" max="8" width="13.5703125" style="1" customWidth="1"/>
    <col min="9" max="9" width="1.42578125" style="1" customWidth="1"/>
    <col min="10" max="10" width="16.5703125" style="1" hidden="1" customWidth="1"/>
    <col min="11" max="16384" width="11.42578125" style="1"/>
  </cols>
  <sheetData>
    <row r="1" spans="2:17" ht="39.950000000000003" customHeight="1">
      <c r="D1" s="186" t="str">
        <f>+A1a!D1</f>
        <v>Impex:   Mastpoulets</v>
      </c>
      <c r="H1" s="187" t="str">
        <f>"A2d: "&amp;Textes!A86</f>
        <v>A2d: Tierausgang</v>
      </c>
    </row>
    <row r="2" spans="2:17" ht="20.100000000000001" customHeight="1">
      <c r="D2" s="186"/>
      <c r="F2" s="190"/>
      <c r="H2" s="187"/>
      <c r="J2" s="376">
        <v>1</v>
      </c>
    </row>
    <row r="3" spans="2:17" ht="15">
      <c r="B3" s="679" t="str">
        <f>Inv!C4 &amp; IF(Inv!D4=0,"",Inv!D4)</f>
        <v xml:space="preserve">Betriebs-Nr:    </v>
      </c>
      <c r="C3" s="191"/>
      <c r="E3" s="679" t="str">
        <f>Inv!C5 &amp; IF(Inv!D5=0,"",Inv!D6 &amp; " " &amp; Inv!D5)</f>
        <v xml:space="preserve">Name:    </v>
      </c>
      <c r="F3" s="45"/>
      <c r="G3" s="8"/>
      <c r="H3" s="225"/>
    </row>
    <row r="4" spans="2:17" ht="16.5" customHeight="1">
      <c r="B4" s="1" t="str">
        <f>+Textes!A89</f>
        <v xml:space="preserve"> Mit Angabe der Tierverkäufe, der Eigenversorgung und der Abgänge</v>
      </c>
      <c r="G4" s="118"/>
      <c r="H4" s="40"/>
      <c r="J4" s="1">
        <f>IF($J$2=3,Textes!$O$5,IF($J$2=2,Textes!$O$4,Textes!$O$3))</f>
        <v>0.79</v>
      </c>
    </row>
    <row r="5" spans="2:17" ht="3.95" customHeight="1"/>
    <row r="6" spans="2:17" ht="15">
      <c r="B6" s="182"/>
      <c r="C6" s="177" t="str">
        <f>IF(Textes!G2=1,Textes!A90,Textes!A92)</f>
        <v>Wegfuhr Tiere</v>
      </c>
      <c r="D6" s="178"/>
      <c r="E6" s="176"/>
      <c r="F6" s="183" t="str">
        <f>IF(Textes!G2=1,Textes!A91,"")</f>
        <v/>
      </c>
      <c r="G6" s="183"/>
      <c r="H6" s="123"/>
      <c r="J6" s="1" t="s">
        <v>445</v>
      </c>
    </row>
    <row r="7" spans="2:17" ht="14.25">
      <c r="B7" s="119" t="str">
        <f>+Textes!A93</f>
        <v>Datum</v>
      </c>
      <c r="C7" s="120" t="str">
        <f>+Textes!A94</f>
        <v>Stück</v>
      </c>
      <c r="D7" s="122" t="str">
        <f>+Textes!A95</f>
        <v>kg LG total</v>
      </c>
      <c r="E7" s="119" t="str">
        <f>IF(Textes!G2=1,B7,"")</f>
        <v/>
      </c>
      <c r="F7" s="120" t="str">
        <f>IF(Textes!G2=1,C7,"")</f>
        <v/>
      </c>
      <c r="G7" s="121" t="str">
        <f>IF(Textes!G2=1,D7,"")</f>
        <v/>
      </c>
      <c r="H7" s="122" t="str">
        <f>IF(Textes!G2=1,Textes!A88,"")</f>
        <v/>
      </c>
      <c r="J7" s="1" t="s">
        <v>446</v>
      </c>
    </row>
    <row r="8" spans="2:17" s="9" customFormat="1" ht="12.6" hidden="1" customHeight="1">
      <c r="B8" s="684"/>
      <c r="C8" s="685"/>
      <c r="D8" s="263"/>
      <c r="E8" s="684"/>
      <c r="F8" s="686"/>
      <c r="G8" s="687"/>
      <c r="H8" s="263"/>
      <c r="J8" s="9">
        <f>IF(G8&lt;(H8/$J$4),H8/$J$4,G8)</f>
        <v>0</v>
      </c>
      <c r="P8" s="1"/>
      <c r="Q8" s="1"/>
    </row>
    <row r="9" spans="2:17" s="9" customFormat="1" ht="12.6" customHeight="1">
      <c r="B9" s="684"/>
      <c r="C9" s="685"/>
      <c r="D9" s="263"/>
      <c r="E9" s="684"/>
      <c r="F9" s="686"/>
      <c r="G9" s="687"/>
      <c r="H9" s="263"/>
      <c r="J9" s="9">
        <f t="shared" ref="J9:J60" si="0">IF(G9&lt;(H9/$J$4),H9/$J$4,G9)</f>
        <v>0</v>
      </c>
      <c r="P9" s="1"/>
      <c r="Q9" s="1"/>
    </row>
    <row r="10" spans="2:17" s="9" customFormat="1" ht="12.6" customHeight="1">
      <c r="B10" s="684"/>
      <c r="C10" s="685"/>
      <c r="D10" s="263"/>
      <c r="E10" s="684"/>
      <c r="F10" s="686"/>
      <c r="G10" s="687"/>
      <c r="H10" s="263"/>
      <c r="J10" s="9">
        <f t="shared" si="0"/>
        <v>0</v>
      </c>
    </row>
    <row r="11" spans="2:17" s="9" customFormat="1" ht="12.6" customHeight="1">
      <c r="B11" s="684"/>
      <c r="C11" s="685"/>
      <c r="D11" s="263"/>
      <c r="E11" s="684"/>
      <c r="F11" s="686"/>
      <c r="G11" s="687"/>
      <c r="H11" s="263"/>
      <c r="J11" s="9">
        <f t="shared" si="0"/>
        <v>0</v>
      </c>
    </row>
    <row r="12" spans="2:17" s="9" customFormat="1" ht="12.6" customHeight="1">
      <c r="B12" s="684"/>
      <c r="C12" s="685"/>
      <c r="D12" s="263"/>
      <c r="E12" s="684"/>
      <c r="F12" s="686"/>
      <c r="G12" s="687"/>
      <c r="H12" s="263"/>
      <c r="J12" s="9">
        <f t="shared" si="0"/>
        <v>0</v>
      </c>
    </row>
    <row r="13" spans="2:17" s="9" customFormat="1" ht="12.6" customHeight="1">
      <c r="B13" s="684"/>
      <c r="C13" s="685"/>
      <c r="D13" s="263"/>
      <c r="E13" s="684"/>
      <c r="F13" s="686"/>
      <c r="G13" s="687"/>
      <c r="H13" s="263"/>
      <c r="J13" s="9">
        <f t="shared" si="0"/>
        <v>0</v>
      </c>
    </row>
    <row r="14" spans="2:17" s="9" customFormat="1" ht="12.6" customHeight="1">
      <c r="B14" s="684"/>
      <c r="C14" s="685"/>
      <c r="D14" s="263"/>
      <c r="E14" s="684"/>
      <c r="F14" s="686"/>
      <c r="G14" s="687"/>
      <c r="H14" s="263"/>
      <c r="J14" s="9">
        <f t="shared" si="0"/>
        <v>0</v>
      </c>
    </row>
    <row r="15" spans="2:17" s="9" customFormat="1" ht="12.6" customHeight="1">
      <c r="B15" s="684"/>
      <c r="C15" s="685"/>
      <c r="D15" s="263"/>
      <c r="E15" s="684"/>
      <c r="F15" s="686"/>
      <c r="G15" s="687"/>
      <c r="H15" s="263"/>
      <c r="J15" s="9">
        <f t="shared" si="0"/>
        <v>0</v>
      </c>
      <c r="P15" s="1"/>
      <c r="Q15" s="1"/>
    </row>
    <row r="16" spans="2:17" s="9" customFormat="1" ht="12.6" customHeight="1">
      <c r="B16" s="684"/>
      <c r="C16" s="685"/>
      <c r="D16" s="263"/>
      <c r="E16" s="684"/>
      <c r="F16" s="686"/>
      <c r="G16" s="687"/>
      <c r="H16" s="263"/>
      <c r="J16" s="9">
        <f t="shared" si="0"/>
        <v>0</v>
      </c>
    </row>
    <row r="17" spans="2:17" s="9" customFormat="1" ht="12.6" customHeight="1">
      <c r="B17" s="684"/>
      <c r="C17" s="685"/>
      <c r="D17" s="263"/>
      <c r="E17" s="684"/>
      <c r="F17" s="686"/>
      <c r="G17" s="687"/>
      <c r="H17" s="263"/>
      <c r="J17" s="9">
        <f t="shared" si="0"/>
        <v>0</v>
      </c>
    </row>
    <row r="18" spans="2:17" s="9" customFormat="1" ht="12.6" customHeight="1">
      <c r="B18" s="684"/>
      <c r="C18" s="685"/>
      <c r="D18" s="263"/>
      <c r="E18" s="684"/>
      <c r="F18" s="686"/>
      <c r="G18" s="687"/>
      <c r="H18" s="263"/>
      <c r="J18" s="9">
        <f t="shared" si="0"/>
        <v>0</v>
      </c>
      <c r="P18" s="1"/>
      <c r="Q18" s="1"/>
    </row>
    <row r="19" spans="2:17" s="9" customFormat="1" ht="12.6" customHeight="1">
      <c r="B19" s="684"/>
      <c r="C19" s="685"/>
      <c r="D19" s="263"/>
      <c r="E19" s="684"/>
      <c r="F19" s="686"/>
      <c r="G19" s="687"/>
      <c r="H19" s="263"/>
      <c r="J19" s="9">
        <f t="shared" si="0"/>
        <v>0</v>
      </c>
      <c r="P19" s="1"/>
      <c r="Q19" s="1"/>
    </row>
    <row r="20" spans="2:17" s="9" customFormat="1" ht="12.6" customHeight="1">
      <c r="B20" s="684"/>
      <c r="C20" s="685"/>
      <c r="D20" s="263"/>
      <c r="E20" s="684"/>
      <c r="F20" s="686"/>
      <c r="G20" s="687"/>
      <c r="H20" s="263"/>
      <c r="J20" s="9">
        <f t="shared" si="0"/>
        <v>0</v>
      </c>
      <c r="P20" s="1"/>
      <c r="Q20" s="1"/>
    </row>
    <row r="21" spans="2:17" s="9" customFormat="1" ht="12.6" customHeight="1">
      <c r="B21" s="684"/>
      <c r="C21" s="685"/>
      <c r="D21" s="263"/>
      <c r="E21" s="684"/>
      <c r="F21" s="686"/>
      <c r="G21" s="687"/>
      <c r="H21" s="263"/>
      <c r="J21" s="9">
        <f t="shared" si="0"/>
        <v>0</v>
      </c>
      <c r="P21" s="1"/>
      <c r="Q21" s="1"/>
    </row>
    <row r="22" spans="2:17" s="9" customFormat="1" ht="12.6" customHeight="1">
      <c r="B22" s="684"/>
      <c r="C22" s="685"/>
      <c r="D22" s="263"/>
      <c r="E22" s="684"/>
      <c r="F22" s="686"/>
      <c r="G22" s="687"/>
      <c r="H22" s="263"/>
      <c r="J22" s="9">
        <f t="shared" si="0"/>
        <v>0</v>
      </c>
      <c r="P22" s="1"/>
      <c r="Q22" s="1"/>
    </row>
    <row r="23" spans="2:17" s="9" customFormat="1" ht="12.6" customHeight="1">
      <c r="B23" s="684"/>
      <c r="C23" s="685"/>
      <c r="D23" s="263"/>
      <c r="E23" s="684"/>
      <c r="F23" s="686"/>
      <c r="G23" s="687"/>
      <c r="H23" s="263"/>
      <c r="J23" s="9">
        <f t="shared" si="0"/>
        <v>0</v>
      </c>
    </row>
    <row r="24" spans="2:17" s="9" customFormat="1" ht="12.6" customHeight="1">
      <c r="B24" s="684"/>
      <c r="C24" s="685"/>
      <c r="D24" s="263"/>
      <c r="E24" s="684"/>
      <c r="F24" s="686"/>
      <c r="G24" s="687"/>
      <c r="H24" s="263"/>
      <c r="J24" s="9">
        <f t="shared" si="0"/>
        <v>0</v>
      </c>
    </row>
    <row r="25" spans="2:17" s="9" customFormat="1" ht="12.6" customHeight="1">
      <c r="B25" s="684"/>
      <c r="C25" s="685"/>
      <c r="D25" s="263"/>
      <c r="E25" s="684"/>
      <c r="F25" s="686"/>
      <c r="G25" s="687"/>
      <c r="H25" s="263"/>
      <c r="J25" s="9">
        <f t="shared" si="0"/>
        <v>0</v>
      </c>
    </row>
    <row r="26" spans="2:17" s="9" customFormat="1" ht="12.6" customHeight="1">
      <c r="B26" s="684"/>
      <c r="C26" s="685"/>
      <c r="D26" s="263"/>
      <c r="E26" s="684"/>
      <c r="F26" s="686"/>
      <c r="G26" s="687"/>
      <c r="H26" s="263"/>
      <c r="J26" s="9">
        <f t="shared" si="0"/>
        <v>0</v>
      </c>
    </row>
    <row r="27" spans="2:17" s="9" customFormat="1" ht="12.6" customHeight="1">
      <c r="B27" s="684"/>
      <c r="C27" s="685"/>
      <c r="D27" s="263"/>
      <c r="E27" s="684"/>
      <c r="F27" s="686"/>
      <c r="G27" s="687"/>
      <c r="H27" s="263"/>
      <c r="J27" s="9">
        <f t="shared" si="0"/>
        <v>0</v>
      </c>
    </row>
    <row r="28" spans="2:17" s="9" customFormat="1" ht="12.6" customHeight="1">
      <c r="B28" s="684"/>
      <c r="C28" s="685"/>
      <c r="D28" s="263"/>
      <c r="E28" s="684"/>
      <c r="F28" s="686"/>
      <c r="G28" s="687"/>
      <c r="H28" s="263"/>
      <c r="J28" s="9">
        <f t="shared" si="0"/>
        <v>0</v>
      </c>
    </row>
    <row r="29" spans="2:17" s="9" customFormat="1" ht="12.6" customHeight="1">
      <c r="B29" s="684"/>
      <c r="C29" s="685"/>
      <c r="D29" s="263"/>
      <c r="E29" s="684"/>
      <c r="F29" s="686"/>
      <c r="G29" s="687"/>
      <c r="H29" s="263"/>
      <c r="J29" s="9">
        <f t="shared" si="0"/>
        <v>0</v>
      </c>
    </row>
    <row r="30" spans="2:17" s="9" customFormat="1" ht="12.6" customHeight="1">
      <c r="B30" s="684"/>
      <c r="C30" s="685"/>
      <c r="D30" s="263"/>
      <c r="E30" s="684"/>
      <c r="F30" s="686"/>
      <c r="G30" s="687"/>
      <c r="H30" s="263"/>
      <c r="J30" s="9">
        <f t="shared" si="0"/>
        <v>0</v>
      </c>
    </row>
    <row r="31" spans="2:17" s="9" customFormat="1" ht="12.6" customHeight="1">
      <c r="B31" s="684"/>
      <c r="C31" s="685"/>
      <c r="D31" s="263"/>
      <c r="E31" s="684"/>
      <c r="F31" s="686"/>
      <c r="G31" s="687"/>
      <c r="H31" s="263"/>
      <c r="J31" s="9">
        <f t="shared" si="0"/>
        <v>0</v>
      </c>
    </row>
    <row r="32" spans="2:17" s="9" customFormat="1" ht="12.6" customHeight="1">
      <c r="B32" s="684"/>
      <c r="C32" s="685"/>
      <c r="D32" s="263"/>
      <c r="E32" s="684"/>
      <c r="F32" s="686"/>
      <c r="G32" s="687"/>
      <c r="H32" s="263"/>
      <c r="J32" s="9">
        <f t="shared" si="0"/>
        <v>0</v>
      </c>
    </row>
    <row r="33" spans="2:11" s="9" customFormat="1" ht="12.6" customHeight="1">
      <c r="B33" s="684"/>
      <c r="C33" s="685"/>
      <c r="D33" s="263"/>
      <c r="E33" s="684"/>
      <c r="F33" s="686"/>
      <c r="G33" s="687"/>
      <c r="H33" s="263"/>
      <c r="J33" s="9">
        <f t="shared" si="0"/>
        <v>0</v>
      </c>
    </row>
    <row r="34" spans="2:11" s="9" customFormat="1" ht="12.6" customHeight="1">
      <c r="B34" s="684"/>
      <c r="C34" s="685"/>
      <c r="D34" s="263"/>
      <c r="E34" s="684"/>
      <c r="F34" s="686"/>
      <c r="G34" s="687"/>
      <c r="H34" s="263"/>
      <c r="J34" s="9">
        <f t="shared" si="0"/>
        <v>0</v>
      </c>
    </row>
    <row r="35" spans="2:11" s="9" customFormat="1" ht="12.6" customHeight="1">
      <c r="B35" s="684"/>
      <c r="C35" s="685"/>
      <c r="D35" s="263"/>
      <c r="E35" s="684"/>
      <c r="F35" s="686"/>
      <c r="G35" s="687"/>
      <c r="H35" s="263"/>
      <c r="J35" s="9">
        <f t="shared" si="0"/>
        <v>0</v>
      </c>
    </row>
    <row r="36" spans="2:11" s="9" customFormat="1" ht="12.6" customHeight="1">
      <c r="B36" s="684"/>
      <c r="C36" s="685"/>
      <c r="D36" s="263"/>
      <c r="E36" s="684"/>
      <c r="F36" s="686"/>
      <c r="G36" s="687"/>
      <c r="H36" s="263"/>
      <c r="J36" s="9">
        <f t="shared" si="0"/>
        <v>0</v>
      </c>
    </row>
    <row r="37" spans="2:11" s="9" customFormat="1" ht="12.6" customHeight="1">
      <c r="B37" s="684"/>
      <c r="C37" s="685"/>
      <c r="D37" s="263"/>
      <c r="E37" s="684"/>
      <c r="F37" s="686"/>
      <c r="G37" s="687"/>
      <c r="H37" s="263"/>
      <c r="J37" s="9">
        <f t="shared" si="0"/>
        <v>0</v>
      </c>
    </row>
    <row r="38" spans="2:11" s="9" customFormat="1" ht="12.6" customHeight="1">
      <c r="B38" s="684"/>
      <c r="C38" s="685"/>
      <c r="D38" s="263"/>
      <c r="E38" s="684"/>
      <c r="F38" s="686"/>
      <c r="G38" s="687"/>
      <c r="H38" s="263"/>
      <c r="J38" s="9">
        <f t="shared" si="0"/>
        <v>0</v>
      </c>
    </row>
    <row r="39" spans="2:11" s="9" customFormat="1" ht="12.6" customHeight="1">
      <c r="B39" s="684"/>
      <c r="C39" s="685"/>
      <c r="D39" s="263"/>
      <c r="E39" s="684"/>
      <c r="F39" s="686"/>
      <c r="G39" s="687"/>
      <c r="H39" s="263"/>
      <c r="J39" s="9">
        <f t="shared" si="0"/>
        <v>0</v>
      </c>
    </row>
    <row r="40" spans="2:11" s="9" customFormat="1" ht="12.6" customHeight="1">
      <c r="B40" s="684"/>
      <c r="C40" s="685"/>
      <c r="D40" s="263"/>
      <c r="E40" s="684"/>
      <c r="F40" s="686"/>
      <c r="G40" s="687"/>
      <c r="H40" s="263"/>
      <c r="J40" s="9">
        <f t="shared" si="0"/>
        <v>0</v>
      </c>
    </row>
    <row r="41" spans="2:11" s="9" customFormat="1" ht="12.6" customHeight="1">
      <c r="B41" s="684"/>
      <c r="C41" s="685"/>
      <c r="D41" s="263"/>
      <c r="E41" s="684"/>
      <c r="F41" s="686"/>
      <c r="G41" s="687"/>
      <c r="H41" s="263"/>
      <c r="J41" s="9">
        <f t="shared" si="0"/>
        <v>0</v>
      </c>
    </row>
    <row r="42" spans="2:11" s="9" customFormat="1" ht="12.6" customHeight="1">
      <c r="B42" s="684"/>
      <c r="C42" s="685"/>
      <c r="D42" s="263"/>
      <c r="E42" s="684"/>
      <c r="F42" s="686"/>
      <c r="G42" s="687"/>
      <c r="H42" s="263"/>
      <c r="J42" s="9">
        <f t="shared" si="0"/>
        <v>0</v>
      </c>
    </row>
    <row r="43" spans="2:11" s="9" customFormat="1" ht="12.6" customHeight="1">
      <c r="B43" s="684"/>
      <c r="C43" s="685"/>
      <c r="D43" s="263"/>
      <c r="E43" s="684"/>
      <c r="F43" s="686"/>
      <c r="G43" s="687"/>
      <c r="H43" s="263"/>
      <c r="J43" s="9">
        <f t="shared" si="0"/>
        <v>0</v>
      </c>
    </row>
    <row r="44" spans="2:11" s="9" customFormat="1" ht="12.6" customHeight="1">
      <c r="B44" s="684"/>
      <c r="C44" s="685"/>
      <c r="D44" s="263"/>
      <c r="E44" s="684"/>
      <c r="F44" s="686"/>
      <c r="G44" s="687"/>
      <c r="H44" s="263"/>
      <c r="J44" s="9">
        <f t="shared" si="0"/>
        <v>0</v>
      </c>
    </row>
    <row r="45" spans="2:11" s="9" customFormat="1" ht="12.6" customHeight="1">
      <c r="B45" s="684"/>
      <c r="C45" s="685"/>
      <c r="D45" s="263"/>
      <c r="E45" s="684"/>
      <c r="F45" s="686"/>
      <c r="G45" s="687"/>
      <c r="H45" s="263"/>
      <c r="J45" s="9">
        <f t="shared" si="0"/>
        <v>0</v>
      </c>
      <c r="K45" s="124"/>
    </row>
    <row r="46" spans="2:11" s="9" customFormat="1" ht="12.6" customHeight="1">
      <c r="B46" s="684"/>
      <c r="C46" s="685"/>
      <c r="D46" s="263"/>
      <c r="E46" s="684"/>
      <c r="F46" s="686"/>
      <c r="G46" s="687"/>
      <c r="H46" s="263"/>
      <c r="J46" s="9">
        <f t="shared" si="0"/>
        <v>0</v>
      </c>
    </row>
    <row r="47" spans="2:11" s="9" customFormat="1" ht="12.6" customHeight="1">
      <c r="B47" s="684"/>
      <c r="C47" s="685"/>
      <c r="D47" s="263"/>
      <c r="E47" s="684"/>
      <c r="F47" s="686"/>
      <c r="G47" s="687"/>
      <c r="H47" s="263"/>
      <c r="J47" s="9">
        <f t="shared" si="0"/>
        <v>0</v>
      </c>
    </row>
    <row r="48" spans="2:11" s="9" customFormat="1" ht="12.6" customHeight="1">
      <c r="B48" s="684"/>
      <c r="C48" s="685"/>
      <c r="D48" s="263"/>
      <c r="E48" s="684"/>
      <c r="F48" s="686"/>
      <c r="G48" s="687"/>
      <c r="H48" s="263"/>
      <c r="J48" s="9">
        <f t="shared" si="0"/>
        <v>0</v>
      </c>
    </row>
    <row r="49" spans="2:17" s="9" customFormat="1" ht="12.6" customHeight="1">
      <c r="B49" s="684"/>
      <c r="C49" s="685"/>
      <c r="D49" s="263"/>
      <c r="E49" s="684"/>
      <c r="F49" s="686"/>
      <c r="G49" s="687"/>
      <c r="H49" s="263"/>
      <c r="J49" s="9">
        <f t="shared" si="0"/>
        <v>0</v>
      </c>
    </row>
    <row r="50" spans="2:17" s="9" customFormat="1" ht="12.6" customHeight="1">
      <c r="B50" s="684"/>
      <c r="C50" s="685"/>
      <c r="D50" s="263"/>
      <c r="E50" s="684"/>
      <c r="F50" s="686"/>
      <c r="G50" s="687"/>
      <c r="H50" s="263"/>
      <c r="J50" s="9">
        <f t="shared" si="0"/>
        <v>0</v>
      </c>
    </row>
    <row r="51" spans="2:17" s="9" customFormat="1" ht="12.6" customHeight="1">
      <c r="B51" s="684"/>
      <c r="C51" s="685"/>
      <c r="D51" s="263"/>
      <c r="E51" s="684"/>
      <c r="F51" s="686"/>
      <c r="G51" s="687"/>
      <c r="H51" s="263"/>
      <c r="J51" s="9">
        <f t="shared" si="0"/>
        <v>0</v>
      </c>
    </row>
    <row r="52" spans="2:17" s="9" customFormat="1" ht="12.6" customHeight="1">
      <c r="B52" s="684"/>
      <c r="C52" s="685"/>
      <c r="D52" s="263"/>
      <c r="E52" s="684"/>
      <c r="F52" s="686"/>
      <c r="G52" s="687"/>
      <c r="H52" s="263"/>
      <c r="J52" s="9">
        <f t="shared" si="0"/>
        <v>0</v>
      </c>
    </row>
    <row r="53" spans="2:17" s="9" customFormat="1" ht="12.6" customHeight="1">
      <c r="B53" s="684"/>
      <c r="C53" s="685"/>
      <c r="D53" s="263"/>
      <c r="E53" s="684"/>
      <c r="F53" s="686"/>
      <c r="G53" s="687"/>
      <c r="H53" s="263"/>
      <c r="J53" s="9">
        <f t="shared" si="0"/>
        <v>0</v>
      </c>
    </row>
    <row r="54" spans="2:17" s="9" customFormat="1" ht="12.6" customHeight="1">
      <c r="B54" s="684"/>
      <c r="C54" s="685"/>
      <c r="D54" s="263"/>
      <c r="E54" s="684"/>
      <c r="F54" s="686"/>
      <c r="G54" s="687"/>
      <c r="H54" s="263"/>
      <c r="J54" s="9">
        <f t="shared" si="0"/>
        <v>0</v>
      </c>
    </row>
    <row r="55" spans="2:17" s="9" customFormat="1" ht="12.6" customHeight="1">
      <c r="B55" s="684"/>
      <c r="C55" s="685"/>
      <c r="D55" s="263"/>
      <c r="E55" s="684"/>
      <c r="F55" s="686"/>
      <c r="G55" s="687"/>
      <c r="H55" s="263"/>
      <c r="J55" s="9">
        <f t="shared" si="0"/>
        <v>0</v>
      </c>
    </row>
    <row r="56" spans="2:17" s="9" customFormat="1" ht="12.6" customHeight="1">
      <c r="B56" s="684"/>
      <c r="C56" s="685"/>
      <c r="D56" s="263"/>
      <c r="E56" s="684"/>
      <c r="F56" s="686"/>
      <c r="G56" s="687"/>
      <c r="H56" s="263"/>
      <c r="J56" s="9">
        <f t="shared" si="0"/>
        <v>0</v>
      </c>
    </row>
    <row r="57" spans="2:17" s="9" customFormat="1" ht="12.6" customHeight="1">
      <c r="B57" s="684"/>
      <c r="C57" s="685"/>
      <c r="D57" s="263"/>
      <c r="E57" s="684"/>
      <c r="F57" s="686"/>
      <c r="G57" s="687"/>
      <c r="H57" s="263"/>
      <c r="J57" s="9">
        <f t="shared" si="0"/>
        <v>0</v>
      </c>
    </row>
    <row r="58" spans="2:17" s="9" customFormat="1" ht="12.6" customHeight="1">
      <c r="B58" s="684"/>
      <c r="C58" s="685"/>
      <c r="D58" s="263"/>
      <c r="E58" s="684"/>
      <c r="F58" s="686"/>
      <c r="G58" s="687"/>
      <c r="H58" s="263"/>
      <c r="J58" s="9">
        <f t="shared" si="0"/>
        <v>0</v>
      </c>
    </row>
    <row r="59" spans="2:17" s="9" customFormat="1" ht="12.6" customHeight="1">
      <c r="B59" s="684"/>
      <c r="C59" s="685"/>
      <c r="D59" s="263"/>
      <c r="E59" s="684"/>
      <c r="F59" s="686"/>
      <c r="G59" s="687"/>
      <c r="H59" s="263"/>
      <c r="J59" s="9">
        <f t="shared" si="0"/>
        <v>0</v>
      </c>
    </row>
    <row r="60" spans="2:17" s="9" customFormat="1" ht="12.6" customHeight="1">
      <c r="B60" s="684"/>
      <c r="C60" s="685"/>
      <c r="D60" s="263"/>
      <c r="E60" s="684"/>
      <c r="F60" s="686"/>
      <c r="G60" s="687"/>
      <c r="H60" s="263"/>
      <c r="J60" s="9">
        <f t="shared" si="0"/>
        <v>0</v>
      </c>
    </row>
    <row r="61" spans="2:17" ht="14.25">
      <c r="B61" s="27" t="str">
        <f>+Textes!A96</f>
        <v>Total Wegfuhr</v>
      </c>
      <c r="C61" s="270">
        <f>IF(SUM(C8:C60)=0,0,SUM(C8:C60))</f>
        <v>0</v>
      </c>
      <c r="D61" s="273">
        <f>IF(SUM(D8:D60)=0,0,SUM(D8:D60))</f>
        <v>0</v>
      </c>
      <c r="E61" s="27" t="str">
        <f>+B61</f>
        <v>Total Wegfuhr</v>
      </c>
      <c r="F61" s="270">
        <f>IF(SUM(F8:F60)=0,0,SUM(F8:F60))</f>
        <v>0</v>
      </c>
      <c r="G61" s="270">
        <f>IF(J61=0,0,J61)</f>
        <v>0</v>
      </c>
      <c r="H61" s="271"/>
      <c r="J61" s="1">
        <f>SUM(J8:J60)</f>
        <v>0</v>
      </c>
      <c r="L61" s="9"/>
      <c r="M61" s="9"/>
      <c r="N61" s="9"/>
      <c r="O61" s="9"/>
      <c r="P61" s="9"/>
      <c r="Q61" s="9"/>
    </row>
    <row r="62" spans="2:17" ht="18" customHeight="1">
      <c r="B62" s="107" t="str">
        <f>IF(Textes!G2=1,Textes!A99,"")</f>
        <v/>
      </c>
      <c r="C62" s="125"/>
      <c r="D62" s="125"/>
      <c r="E62" s="107"/>
      <c r="F62" s="125"/>
      <c r="G62" s="125"/>
      <c r="H62" s="125"/>
    </row>
    <row r="63" spans="2:17" ht="4.5" customHeight="1">
      <c r="C63" s="126"/>
      <c r="D63" s="126"/>
      <c r="F63" s="126"/>
      <c r="H63" s="126"/>
    </row>
    <row r="64" spans="2:17" ht="21" customHeight="1">
      <c r="B64" s="29" t="str">
        <f>+Textes!A70</f>
        <v>Kantonale Kontrollstelle, Datum:</v>
      </c>
      <c r="C64" s="30"/>
      <c r="D64" s="30"/>
      <c r="E64" s="30"/>
      <c r="F64" s="30" t="str">
        <f>+Textes!A71</f>
        <v>Unterschrift:</v>
      </c>
      <c r="G64" s="30"/>
      <c r="H64" s="31"/>
    </row>
    <row r="65" spans="2:10" ht="4.5" customHeight="1">
      <c r="E65" s="127"/>
      <c r="J65" s="1" t="s">
        <v>447</v>
      </c>
    </row>
    <row r="66" spans="2:10" ht="21" customHeight="1">
      <c r="B66" s="29" t="str">
        <f>+Textes!A74</f>
        <v>Betriebsleiter, Datum:</v>
      </c>
      <c r="C66" s="30"/>
      <c r="D66" s="30"/>
      <c r="E66" s="30"/>
      <c r="F66" s="30" t="str">
        <f>+Textes!A71</f>
        <v>Unterschrift:</v>
      </c>
      <c r="G66" s="30"/>
      <c r="H66" s="31"/>
    </row>
    <row r="67" spans="2:10" ht="6" customHeight="1">
      <c r="F67" s="10"/>
      <c r="G67" s="10"/>
    </row>
    <row r="68" spans="2:10" ht="9.9499999999999993" customHeight="1">
      <c r="F68" s="10"/>
      <c r="G68" s="10"/>
    </row>
    <row r="69" spans="2:10">
      <c r="F69" s="10"/>
      <c r="G69" s="10"/>
    </row>
  </sheetData>
  <sheetProtection password="8C69" sheet="1" scenarios="1"/>
  <phoneticPr fontId="28" type="noConversion"/>
  <pageMargins left="0.59055118110236227" right="0.39370078740157483" top="0.39370078740157483" bottom="0.32" header="0.11811023622047245" footer="0.11811023622047245"/>
  <pageSetup paperSize="9" scale="92" orientation="portrait" r:id="rId1"/>
  <headerFooter alignWithMargins="0">
    <oddFooter>&amp;C&amp;9&amp;F&amp;L&amp;"Arial,Fett"&amp;11AGRIDEA &amp;"Arial,Standard"&amp;9Impex, Version 2.6&amp;R&amp;"Arial,Standard"&amp;9&amp;D / 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4" r:id="rId4" name="cboAusbeute">
              <controlPr defaultSize="0" autoFill="0" autoLine="0" autoPict="0">
                <anchor moveWithCells="1">
                  <from>
                    <xdr:col>6</xdr:col>
                    <xdr:colOff>238125</xdr:colOff>
                    <xdr:row>1</xdr:row>
                    <xdr:rowOff>85725</xdr:rowOff>
                  </from>
                  <to>
                    <xdr:col>7</xdr:col>
                    <xdr:colOff>904875</xdr:colOff>
                    <xdr:row>2</xdr:row>
                    <xdr:rowOff>47625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B1:Q69"/>
  <sheetViews>
    <sheetView showGridLines="0" showRowColHeaders="0" showZeros="0" workbookViewId="0">
      <selection activeCell="B9" sqref="B9"/>
    </sheetView>
  </sheetViews>
  <sheetFormatPr baseColWidth="10" defaultColWidth="11.42578125" defaultRowHeight="12.75"/>
  <cols>
    <col min="1" max="1" width="1.42578125" style="1" customWidth="1"/>
    <col min="2" max="8" width="13.5703125" style="1" customWidth="1"/>
    <col min="9" max="9" width="1.42578125" style="1" customWidth="1"/>
    <col min="10" max="10" width="16.5703125" style="1" hidden="1" customWidth="1"/>
    <col min="11" max="16384" width="11.42578125" style="1"/>
  </cols>
  <sheetData>
    <row r="1" spans="2:17" ht="39.950000000000003" customHeight="1">
      <c r="D1" s="186" t="str">
        <f>+A1a!D1</f>
        <v>Impex:   Mastpoulets</v>
      </c>
      <c r="H1" s="187" t="str">
        <f>"A2e: "&amp;Textes!A86</f>
        <v>A2e: Tierausgang</v>
      </c>
    </row>
    <row r="2" spans="2:17" ht="20.100000000000001" customHeight="1">
      <c r="D2" s="186"/>
      <c r="F2" s="190"/>
      <c r="H2" s="187"/>
      <c r="J2" s="376">
        <v>1</v>
      </c>
    </row>
    <row r="3" spans="2:17" ht="15">
      <c r="B3" s="679" t="str">
        <f>Inv!C4 &amp; IF(Inv!D4=0,"",Inv!D4)</f>
        <v xml:space="preserve">Betriebs-Nr:    </v>
      </c>
      <c r="C3" s="191"/>
      <c r="E3" s="679" t="str">
        <f>Inv!C5 &amp; IF(Inv!D5=0,"",Inv!D6 &amp; " " &amp; Inv!D5)</f>
        <v xml:space="preserve">Name:    </v>
      </c>
      <c r="F3" s="45"/>
      <c r="G3" s="8"/>
      <c r="H3" s="225"/>
    </row>
    <row r="4" spans="2:17" ht="16.5" customHeight="1">
      <c r="B4" s="1" t="str">
        <f>+Textes!A89</f>
        <v xml:space="preserve"> Mit Angabe der Tierverkäufe, der Eigenversorgung und der Abgänge</v>
      </c>
      <c r="G4" s="118"/>
      <c r="H4" s="40"/>
      <c r="J4" s="1">
        <f>IF($J$2=3,Textes!$O$5,IF($J$2=2,Textes!$O$4,Textes!$O$3))</f>
        <v>0.79</v>
      </c>
    </row>
    <row r="5" spans="2:17" ht="3.95" customHeight="1"/>
    <row r="6" spans="2:17" ht="15">
      <c r="B6" s="182"/>
      <c r="C6" s="177" t="str">
        <f>IF(Textes!G2=1,Textes!A90,Textes!A92)</f>
        <v>Wegfuhr Tiere</v>
      </c>
      <c r="D6" s="178"/>
      <c r="E6" s="176"/>
      <c r="F6" s="183" t="str">
        <f>IF(Textes!G2=1,Textes!A91,"")</f>
        <v/>
      </c>
      <c r="G6" s="183"/>
      <c r="H6" s="123"/>
      <c r="J6" s="1" t="s">
        <v>445</v>
      </c>
    </row>
    <row r="7" spans="2:17" ht="14.25">
      <c r="B7" s="119" t="str">
        <f>+Textes!A93</f>
        <v>Datum</v>
      </c>
      <c r="C7" s="120" t="str">
        <f>+Textes!A94</f>
        <v>Stück</v>
      </c>
      <c r="D7" s="122" t="str">
        <f>+Textes!A95</f>
        <v>kg LG total</v>
      </c>
      <c r="E7" s="119" t="str">
        <f>IF(Textes!G2=1,B7,"")</f>
        <v/>
      </c>
      <c r="F7" s="120" t="str">
        <f>IF(Textes!G2=1,C7,"")</f>
        <v/>
      </c>
      <c r="G7" s="121" t="str">
        <f>IF(Textes!G2=1,D7,"")</f>
        <v/>
      </c>
      <c r="H7" s="122" t="str">
        <f>IF(Textes!G2=1,Textes!A88,"")</f>
        <v/>
      </c>
      <c r="J7" s="1" t="s">
        <v>446</v>
      </c>
    </row>
    <row r="8" spans="2:17" s="9" customFormat="1" ht="12.6" hidden="1" customHeight="1">
      <c r="B8" s="684"/>
      <c r="C8" s="685"/>
      <c r="D8" s="263"/>
      <c r="E8" s="684"/>
      <c r="F8" s="686"/>
      <c r="G8" s="687"/>
      <c r="H8" s="263"/>
      <c r="J8" s="9">
        <f>IF(G8&lt;(H8/$J$4),H8/$J$4,G8)</f>
        <v>0</v>
      </c>
      <c r="P8" s="1"/>
      <c r="Q8" s="1"/>
    </row>
    <row r="9" spans="2:17" s="9" customFormat="1" ht="12.6" customHeight="1">
      <c r="B9" s="684"/>
      <c r="C9" s="685"/>
      <c r="D9" s="263"/>
      <c r="E9" s="684"/>
      <c r="F9" s="686"/>
      <c r="G9" s="687"/>
      <c r="H9" s="263"/>
      <c r="J9" s="9">
        <f t="shared" ref="J9:J60" si="0">IF(G9&lt;(H9/$J$4),H9/$J$4,G9)</f>
        <v>0</v>
      </c>
      <c r="P9" s="1"/>
      <c r="Q9" s="1"/>
    </row>
    <row r="10" spans="2:17" s="9" customFormat="1" ht="12.6" customHeight="1">
      <c r="B10" s="684"/>
      <c r="C10" s="685"/>
      <c r="D10" s="263"/>
      <c r="E10" s="684"/>
      <c r="F10" s="686"/>
      <c r="G10" s="687"/>
      <c r="H10" s="263"/>
      <c r="J10" s="9">
        <f t="shared" si="0"/>
        <v>0</v>
      </c>
    </row>
    <row r="11" spans="2:17" s="9" customFormat="1" ht="12.6" customHeight="1">
      <c r="B11" s="684"/>
      <c r="C11" s="685"/>
      <c r="D11" s="263"/>
      <c r="E11" s="684"/>
      <c r="F11" s="686"/>
      <c r="G11" s="687"/>
      <c r="H11" s="263"/>
      <c r="J11" s="9">
        <f t="shared" si="0"/>
        <v>0</v>
      </c>
    </row>
    <row r="12" spans="2:17" s="9" customFormat="1" ht="12.6" customHeight="1">
      <c r="B12" s="684"/>
      <c r="C12" s="685"/>
      <c r="D12" s="263"/>
      <c r="E12" s="684"/>
      <c r="F12" s="686"/>
      <c r="G12" s="687"/>
      <c r="H12" s="263"/>
      <c r="J12" s="9">
        <f t="shared" si="0"/>
        <v>0</v>
      </c>
    </row>
    <row r="13" spans="2:17" s="9" customFormat="1" ht="12.6" customHeight="1">
      <c r="B13" s="684"/>
      <c r="C13" s="685"/>
      <c r="D13" s="263"/>
      <c r="E13" s="684"/>
      <c r="F13" s="686"/>
      <c r="G13" s="687"/>
      <c r="H13" s="263"/>
      <c r="J13" s="9">
        <f t="shared" si="0"/>
        <v>0</v>
      </c>
    </row>
    <row r="14" spans="2:17" s="9" customFormat="1" ht="12.6" customHeight="1">
      <c r="B14" s="684"/>
      <c r="C14" s="685"/>
      <c r="D14" s="263"/>
      <c r="E14" s="684"/>
      <c r="F14" s="686"/>
      <c r="G14" s="687"/>
      <c r="H14" s="263"/>
      <c r="J14" s="9">
        <f t="shared" si="0"/>
        <v>0</v>
      </c>
    </row>
    <row r="15" spans="2:17" s="9" customFormat="1" ht="12.6" customHeight="1">
      <c r="B15" s="684"/>
      <c r="C15" s="685"/>
      <c r="D15" s="263"/>
      <c r="E15" s="684"/>
      <c r="F15" s="686"/>
      <c r="G15" s="687"/>
      <c r="H15" s="263"/>
      <c r="J15" s="9">
        <f t="shared" si="0"/>
        <v>0</v>
      </c>
      <c r="P15" s="1"/>
      <c r="Q15" s="1"/>
    </row>
    <row r="16" spans="2:17" s="9" customFormat="1" ht="12.6" customHeight="1">
      <c r="B16" s="684"/>
      <c r="C16" s="685"/>
      <c r="D16" s="263"/>
      <c r="E16" s="684"/>
      <c r="F16" s="686"/>
      <c r="G16" s="687"/>
      <c r="H16" s="263"/>
      <c r="J16" s="9">
        <f t="shared" si="0"/>
        <v>0</v>
      </c>
    </row>
    <row r="17" spans="2:17" s="9" customFormat="1" ht="12.6" customHeight="1">
      <c r="B17" s="684"/>
      <c r="C17" s="685"/>
      <c r="D17" s="263"/>
      <c r="E17" s="684"/>
      <c r="F17" s="686"/>
      <c r="G17" s="687"/>
      <c r="H17" s="263"/>
      <c r="J17" s="9">
        <f t="shared" si="0"/>
        <v>0</v>
      </c>
    </row>
    <row r="18" spans="2:17" s="9" customFormat="1" ht="12.6" customHeight="1">
      <c r="B18" s="684"/>
      <c r="C18" s="685"/>
      <c r="D18" s="263"/>
      <c r="E18" s="684"/>
      <c r="F18" s="686"/>
      <c r="G18" s="687"/>
      <c r="H18" s="263"/>
      <c r="J18" s="9">
        <f t="shared" si="0"/>
        <v>0</v>
      </c>
      <c r="P18" s="1"/>
      <c r="Q18" s="1"/>
    </row>
    <row r="19" spans="2:17" s="9" customFormat="1" ht="12.6" customHeight="1">
      <c r="B19" s="684"/>
      <c r="C19" s="685"/>
      <c r="D19" s="263"/>
      <c r="E19" s="684"/>
      <c r="F19" s="686"/>
      <c r="G19" s="687"/>
      <c r="H19" s="263"/>
      <c r="J19" s="9">
        <f t="shared" si="0"/>
        <v>0</v>
      </c>
      <c r="P19" s="1"/>
      <c r="Q19" s="1"/>
    </row>
    <row r="20" spans="2:17" s="9" customFormat="1" ht="12.6" customHeight="1">
      <c r="B20" s="684"/>
      <c r="C20" s="685"/>
      <c r="D20" s="263"/>
      <c r="E20" s="684"/>
      <c r="F20" s="686"/>
      <c r="G20" s="687"/>
      <c r="H20" s="263"/>
      <c r="J20" s="9">
        <f t="shared" si="0"/>
        <v>0</v>
      </c>
      <c r="P20" s="1"/>
      <c r="Q20" s="1"/>
    </row>
    <row r="21" spans="2:17" s="9" customFormat="1" ht="12.6" customHeight="1">
      <c r="B21" s="684"/>
      <c r="C21" s="685"/>
      <c r="D21" s="263"/>
      <c r="E21" s="684"/>
      <c r="F21" s="686"/>
      <c r="G21" s="687"/>
      <c r="H21" s="263"/>
      <c r="J21" s="9">
        <f t="shared" si="0"/>
        <v>0</v>
      </c>
      <c r="P21" s="1"/>
      <c r="Q21" s="1"/>
    </row>
    <row r="22" spans="2:17" s="9" customFormat="1" ht="12.6" customHeight="1">
      <c r="B22" s="684"/>
      <c r="C22" s="685"/>
      <c r="D22" s="263"/>
      <c r="E22" s="684"/>
      <c r="F22" s="686"/>
      <c r="G22" s="687"/>
      <c r="H22" s="263"/>
      <c r="J22" s="9">
        <f t="shared" si="0"/>
        <v>0</v>
      </c>
      <c r="P22" s="1"/>
      <c r="Q22" s="1"/>
    </row>
    <row r="23" spans="2:17" s="9" customFormat="1" ht="12.6" customHeight="1">
      <c r="B23" s="684"/>
      <c r="C23" s="685"/>
      <c r="D23" s="263"/>
      <c r="E23" s="684"/>
      <c r="F23" s="686"/>
      <c r="G23" s="687"/>
      <c r="H23" s="263"/>
      <c r="J23" s="9">
        <f t="shared" si="0"/>
        <v>0</v>
      </c>
    </row>
    <row r="24" spans="2:17" s="9" customFormat="1" ht="12.6" customHeight="1">
      <c r="B24" s="684"/>
      <c r="C24" s="685"/>
      <c r="D24" s="263"/>
      <c r="E24" s="684"/>
      <c r="F24" s="686"/>
      <c r="G24" s="687"/>
      <c r="H24" s="263"/>
      <c r="J24" s="9">
        <f t="shared" si="0"/>
        <v>0</v>
      </c>
    </row>
    <row r="25" spans="2:17" s="9" customFormat="1" ht="12.6" customHeight="1">
      <c r="B25" s="684"/>
      <c r="C25" s="685"/>
      <c r="D25" s="263"/>
      <c r="E25" s="684"/>
      <c r="F25" s="686"/>
      <c r="G25" s="687"/>
      <c r="H25" s="263"/>
      <c r="J25" s="9">
        <f t="shared" si="0"/>
        <v>0</v>
      </c>
    </row>
    <row r="26" spans="2:17" s="9" customFormat="1" ht="12.6" customHeight="1">
      <c r="B26" s="684"/>
      <c r="C26" s="685"/>
      <c r="D26" s="263"/>
      <c r="E26" s="684"/>
      <c r="F26" s="686"/>
      <c r="G26" s="687"/>
      <c r="H26" s="263"/>
      <c r="J26" s="9">
        <f t="shared" si="0"/>
        <v>0</v>
      </c>
    </row>
    <row r="27" spans="2:17" s="9" customFormat="1" ht="12.6" customHeight="1">
      <c r="B27" s="684"/>
      <c r="C27" s="685"/>
      <c r="D27" s="263"/>
      <c r="E27" s="684"/>
      <c r="F27" s="686"/>
      <c r="G27" s="687"/>
      <c r="H27" s="263"/>
      <c r="J27" s="9">
        <f t="shared" si="0"/>
        <v>0</v>
      </c>
    </row>
    <row r="28" spans="2:17" s="9" customFormat="1" ht="12.6" customHeight="1">
      <c r="B28" s="684"/>
      <c r="C28" s="685"/>
      <c r="D28" s="263"/>
      <c r="E28" s="684"/>
      <c r="F28" s="686"/>
      <c r="G28" s="687"/>
      <c r="H28" s="263"/>
      <c r="J28" s="9">
        <f t="shared" si="0"/>
        <v>0</v>
      </c>
    </row>
    <row r="29" spans="2:17" s="9" customFormat="1" ht="12.6" customHeight="1">
      <c r="B29" s="684"/>
      <c r="C29" s="685"/>
      <c r="D29" s="263"/>
      <c r="E29" s="684"/>
      <c r="F29" s="686"/>
      <c r="G29" s="687"/>
      <c r="H29" s="263"/>
      <c r="J29" s="9">
        <f t="shared" si="0"/>
        <v>0</v>
      </c>
    </row>
    <row r="30" spans="2:17" s="9" customFormat="1" ht="12.6" customHeight="1">
      <c r="B30" s="684"/>
      <c r="C30" s="685"/>
      <c r="D30" s="263"/>
      <c r="E30" s="684"/>
      <c r="F30" s="686"/>
      <c r="G30" s="687"/>
      <c r="H30" s="263"/>
      <c r="J30" s="9">
        <f t="shared" si="0"/>
        <v>0</v>
      </c>
    </row>
    <row r="31" spans="2:17" s="9" customFormat="1" ht="12.6" customHeight="1">
      <c r="B31" s="684"/>
      <c r="C31" s="685"/>
      <c r="D31" s="263"/>
      <c r="E31" s="684"/>
      <c r="F31" s="686"/>
      <c r="G31" s="687"/>
      <c r="H31" s="263"/>
      <c r="J31" s="9">
        <f t="shared" si="0"/>
        <v>0</v>
      </c>
    </row>
    <row r="32" spans="2:17" s="9" customFormat="1" ht="12.6" customHeight="1">
      <c r="B32" s="684"/>
      <c r="C32" s="685"/>
      <c r="D32" s="263"/>
      <c r="E32" s="684"/>
      <c r="F32" s="686"/>
      <c r="G32" s="687"/>
      <c r="H32" s="263"/>
      <c r="J32" s="9">
        <f t="shared" si="0"/>
        <v>0</v>
      </c>
    </row>
    <row r="33" spans="2:11" s="9" customFormat="1" ht="12.6" customHeight="1">
      <c r="B33" s="684"/>
      <c r="C33" s="685"/>
      <c r="D33" s="263"/>
      <c r="E33" s="684"/>
      <c r="F33" s="686"/>
      <c r="G33" s="687"/>
      <c r="H33" s="263"/>
      <c r="J33" s="9">
        <f t="shared" si="0"/>
        <v>0</v>
      </c>
    </row>
    <row r="34" spans="2:11" s="9" customFormat="1" ht="12.6" customHeight="1">
      <c r="B34" s="684"/>
      <c r="C34" s="685"/>
      <c r="D34" s="263"/>
      <c r="E34" s="684"/>
      <c r="F34" s="686"/>
      <c r="G34" s="687"/>
      <c r="H34" s="263"/>
      <c r="J34" s="9">
        <f t="shared" si="0"/>
        <v>0</v>
      </c>
    </row>
    <row r="35" spans="2:11" s="9" customFormat="1" ht="12.6" customHeight="1">
      <c r="B35" s="684"/>
      <c r="C35" s="685"/>
      <c r="D35" s="263"/>
      <c r="E35" s="684"/>
      <c r="F35" s="686"/>
      <c r="G35" s="687"/>
      <c r="H35" s="263"/>
      <c r="J35" s="9">
        <f t="shared" si="0"/>
        <v>0</v>
      </c>
    </row>
    <row r="36" spans="2:11" s="9" customFormat="1" ht="12.6" customHeight="1">
      <c r="B36" s="684"/>
      <c r="C36" s="685"/>
      <c r="D36" s="263"/>
      <c r="E36" s="684"/>
      <c r="F36" s="686"/>
      <c r="G36" s="687"/>
      <c r="H36" s="263"/>
      <c r="J36" s="9">
        <f t="shared" si="0"/>
        <v>0</v>
      </c>
    </row>
    <row r="37" spans="2:11" s="9" customFormat="1" ht="12.6" customHeight="1">
      <c r="B37" s="684"/>
      <c r="C37" s="685"/>
      <c r="D37" s="263"/>
      <c r="E37" s="684"/>
      <c r="F37" s="686"/>
      <c r="G37" s="687"/>
      <c r="H37" s="263"/>
      <c r="J37" s="9">
        <f t="shared" si="0"/>
        <v>0</v>
      </c>
    </row>
    <row r="38" spans="2:11" s="9" customFormat="1" ht="12.6" customHeight="1">
      <c r="B38" s="684"/>
      <c r="C38" s="685"/>
      <c r="D38" s="263"/>
      <c r="E38" s="684"/>
      <c r="F38" s="686"/>
      <c r="G38" s="687"/>
      <c r="H38" s="263"/>
      <c r="J38" s="9">
        <f t="shared" si="0"/>
        <v>0</v>
      </c>
    </row>
    <row r="39" spans="2:11" s="9" customFormat="1" ht="12.6" customHeight="1">
      <c r="B39" s="684"/>
      <c r="C39" s="685"/>
      <c r="D39" s="263"/>
      <c r="E39" s="684"/>
      <c r="F39" s="686"/>
      <c r="G39" s="687"/>
      <c r="H39" s="263"/>
      <c r="J39" s="9">
        <f t="shared" si="0"/>
        <v>0</v>
      </c>
    </row>
    <row r="40" spans="2:11" s="9" customFormat="1" ht="12.6" customHeight="1">
      <c r="B40" s="684"/>
      <c r="C40" s="685"/>
      <c r="D40" s="263"/>
      <c r="E40" s="684"/>
      <c r="F40" s="686"/>
      <c r="G40" s="687"/>
      <c r="H40" s="263"/>
      <c r="J40" s="9">
        <f t="shared" si="0"/>
        <v>0</v>
      </c>
    </row>
    <row r="41" spans="2:11" s="9" customFormat="1" ht="12.6" customHeight="1">
      <c r="B41" s="684"/>
      <c r="C41" s="685"/>
      <c r="D41" s="263"/>
      <c r="E41" s="684"/>
      <c r="F41" s="686"/>
      <c r="G41" s="687"/>
      <c r="H41" s="263"/>
      <c r="J41" s="9">
        <f t="shared" si="0"/>
        <v>0</v>
      </c>
    </row>
    <row r="42" spans="2:11" s="9" customFormat="1" ht="12.6" customHeight="1">
      <c r="B42" s="684"/>
      <c r="C42" s="685"/>
      <c r="D42" s="263"/>
      <c r="E42" s="684"/>
      <c r="F42" s="686"/>
      <c r="G42" s="687"/>
      <c r="H42" s="263"/>
      <c r="J42" s="9">
        <f t="shared" si="0"/>
        <v>0</v>
      </c>
    </row>
    <row r="43" spans="2:11" s="9" customFormat="1" ht="12.6" customHeight="1">
      <c r="B43" s="684"/>
      <c r="C43" s="685"/>
      <c r="D43" s="263"/>
      <c r="E43" s="684"/>
      <c r="F43" s="686"/>
      <c r="G43" s="687"/>
      <c r="H43" s="263"/>
      <c r="J43" s="9">
        <f t="shared" si="0"/>
        <v>0</v>
      </c>
    </row>
    <row r="44" spans="2:11" s="9" customFormat="1" ht="12.6" customHeight="1">
      <c r="B44" s="684"/>
      <c r="C44" s="685"/>
      <c r="D44" s="263"/>
      <c r="E44" s="684"/>
      <c r="F44" s="686"/>
      <c r="G44" s="687"/>
      <c r="H44" s="263"/>
      <c r="J44" s="9">
        <f t="shared" si="0"/>
        <v>0</v>
      </c>
    </row>
    <row r="45" spans="2:11" s="9" customFormat="1" ht="12.6" customHeight="1">
      <c r="B45" s="684"/>
      <c r="C45" s="685"/>
      <c r="D45" s="263"/>
      <c r="E45" s="684"/>
      <c r="F45" s="686"/>
      <c r="G45" s="687"/>
      <c r="H45" s="263"/>
      <c r="J45" s="9">
        <f t="shared" si="0"/>
        <v>0</v>
      </c>
      <c r="K45" s="124"/>
    </row>
    <row r="46" spans="2:11" s="9" customFormat="1" ht="12.6" customHeight="1">
      <c r="B46" s="684"/>
      <c r="C46" s="685"/>
      <c r="D46" s="263"/>
      <c r="E46" s="684"/>
      <c r="F46" s="686"/>
      <c r="G46" s="687"/>
      <c r="H46" s="263"/>
      <c r="J46" s="9">
        <f t="shared" si="0"/>
        <v>0</v>
      </c>
    </row>
    <row r="47" spans="2:11" s="9" customFormat="1" ht="12.6" customHeight="1">
      <c r="B47" s="684"/>
      <c r="C47" s="685"/>
      <c r="D47" s="263"/>
      <c r="E47" s="684"/>
      <c r="F47" s="686"/>
      <c r="G47" s="687"/>
      <c r="H47" s="263"/>
      <c r="J47" s="9">
        <f t="shared" si="0"/>
        <v>0</v>
      </c>
    </row>
    <row r="48" spans="2:11" s="9" customFormat="1" ht="12.6" customHeight="1">
      <c r="B48" s="684"/>
      <c r="C48" s="685"/>
      <c r="D48" s="263"/>
      <c r="E48" s="684"/>
      <c r="F48" s="686"/>
      <c r="G48" s="687"/>
      <c r="H48" s="263"/>
      <c r="J48" s="9">
        <f t="shared" si="0"/>
        <v>0</v>
      </c>
    </row>
    <row r="49" spans="2:17" s="9" customFormat="1" ht="12.6" customHeight="1">
      <c r="B49" s="684"/>
      <c r="C49" s="685"/>
      <c r="D49" s="263"/>
      <c r="E49" s="684"/>
      <c r="F49" s="686"/>
      <c r="G49" s="687"/>
      <c r="H49" s="263"/>
      <c r="J49" s="9">
        <f t="shared" si="0"/>
        <v>0</v>
      </c>
    </row>
    <row r="50" spans="2:17" s="9" customFormat="1" ht="12.6" customHeight="1">
      <c r="B50" s="684"/>
      <c r="C50" s="685"/>
      <c r="D50" s="263"/>
      <c r="E50" s="684"/>
      <c r="F50" s="686"/>
      <c r="G50" s="687"/>
      <c r="H50" s="263"/>
      <c r="J50" s="9">
        <f t="shared" si="0"/>
        <v>0</v>
      </c>
    </row>
    <row r="51" spans="2:17" s="9" customFormat="1" ht="12.6" customHeight="1">
      <c r="B51" s="684"/>
      <c r="C51" s="685"/>
      <c r="D51" s="263"/>
      <c r="E51" s="684"/>
      <c r="F51" s="686"/>
      <c r="G51" s="687"/>
      <c r="H51" s="263"/>
      <c r="J51" s="9">
        <f t="shared" si="0"/>
        <v>0</v>
      </c>
    </row>
    <row r="52" spans="2:17" s="9" customFormat="1" ht="12.6" customHeight="1">
      <c r="B52" s="684"/>
      <c r="C52" s="685"/>
      <c r="D52" s="263"/>
      <c r="E52" s="684"/>
      <c r="F52" s="686"/>
      <c r="G52" s="687"/>
      <c r="H52" s="263"/>
      <c r="J52" s="9">
        <f t="shared" si="0"/>
        <v>0</v>
      </c>
    </row>
    <row r="53" spans="2:17" s="9" customFormat="1" ht="12.6" customHeight="1">
      <c r="B53" s="684"/>
      <c r="C53" s="685"/>
      <c r="D53" s="263"/>
      <c r="E53" s="684"/>
      <c r="F53" s="686"/>
      <c r="G53" s="687"/>
      <c r="H53" s="263"/>
      <c r="J53" s="9">
        <f t="shared" si="0"/>
        <v>0</v>
      </c>
    </row>
    <row r="54" spans="2:17" s="9" customFormat="1" ht="12.6" customHeight="1">
      <c r="B54" s="684"/>
      <c r="C54" s="685"/>
      <c r="D54" s="263"/>
      <c r="E54" s="684"/>
      <c r="F54" s="686"/>
      <c r="G54" s="687"/>
      <c r="H54" s="263"/>
      <c r="J54" s="9">
        <f t="shared" si="0"/>
        <v>0</v>
      </c>
    </row>
    <row r="55" spans="2:17" s="9" customFormat="1" ht="12.6" customHeight="1">
      <c r="B55" s="684"/>
      <c r="C55" s="685"/>
      <c r="D55" s="263"/>
      <c r="E55" s="684"/>
      <c r="F55" s="686"/>
      <c r="G55" s="687"/>
      <c r="H55" s="263"/>
      <c r="J55" s="9">
        <f t="shared" si="0"/>
        <v>0</v>
      </c>
    </row>
    <row r="56" spans="2:17" s="9" customFormat="1" ht="12.6" customHeight="1">
      <c r="B56" s="684"/>
      <c r="C56" s="685"/>
      <c r="D56" s="263"/>
      <c r="E56" s="684"/>
      <c r="F56" s="686"/>
      <c r="G56" s="687"/>
      <c r="H56" s="263"/>
      <c r="J56" s="9">
        <f t="shared" si="0"/>
        <v>0</v>
      </c>
    </row>
    <row r="57" spans="2:17" s="9" customFormat="1" ht="12.6" customHeight="1">
      <c r="B57" s="684"/>
      <c r="C57" s="685"/>
      <c r="D57" s="263"/>
      <c r="E57" s="684"/>
      <c r="F57" s="686"/>
      <c r="G57" s="687"/>
      <c r="H57" s="263"/>
      <c r="J57" s="9">
        <f t="shared" si="0"/>
        <v>0</v>
      </c>
    </row>
    <row r="58" spans="2:17" s="9" customFormat="1" ht="12.6" customHeight="1">
      <c r="B58" s="684"/>
      <c r="C58" s="685"/>
      <c r="D58" s="263"/>
      <c r="E58" s="684"/>
      <c r="F58" s="686"/>
      <c r="G58" s="687"/>
      <c r="H58" s="263"/>
      <c r="J58" s="9">
        <f t="shared" si="0"/>
        <v>0</v>
      </c>
    </row>
    <row r="59" spans="2:17" s="9" customFormat="1" ht="12.6" customHeight="1">
      <c r="B59" s="684"/>
      <c r="C59" s="685"/>
      <c r="D59" s="263"/>
      <c r="E59" s="684"/>
      <c r="F59" s="686"/>
      <c r="G59" s="687"/>
      <c r="H59" s="263"/>
      <c r="J59" s="9">
        <f t="shared" si="0"/>
        <v>0</v>
      </c>
    </row>
    <row r="60" spans="2:17" s="9" customFormat="1" ht="12.6" customHeight="1">
      <c r="B60" s="684"/>
      <c r="C60" s="685"/>
      <c r="D60" s="263"/>
      <c r="E60" s="684"/>
      <c r="F60" s="686"/>
      <c r="G60" s="687"/>
      <c r="H60" s="263"/>
      <c r="J60" s="9">
        <f t="shared" si="0"/>
        <v>0</v>
      </c>
    </row>
    <row r="61" spans="2:17" ht="14.25">
      <c r="B61" s="27" t="str">
        <f>+Textes!A96</f>
        <v>Total Wegfuhr</v>
      </c>
      <c r="C61" s="270">
        <f>IF(SUM(C8:C60)=0,0,SUM(C8:C60))</f>
        <v>0</v>
      </c>
      <c r="D61" s="273">
        <f>IF(SUM(D8:D60)=0,0,SUM(D8:D60))</f>
        <v>0</v>
      </c>
      <c r="E61" s="27" t="str">
        <f>+B61</f>
        <v>Total Wegfuhr</v>
      </c>
      <c r="F61" s="270">
        <f>IF(SUM(F8:F60)=0,0,SUM(F8:F60))</f>
        <v>0</v>
      </c>
      <c r="G61" s="270">
        <f>IF(J61=0,0,J61)</f>
        <v>0</v>
      </c>
      <c r="H61" s="271"/>
      <c r="J61" s="1">
        <f>SUM(J8:J60)</f>
        <v>0</v>
      </c>
      <c r="L61" s="9"/>
      <c r="M61" s="9"/>
      <c r="N61" s="9"/>
      <c r="O61" s="9"/>
      <c r="P61" s="9"/>
      <c r="Q61" s="9"/>
    </row>
    <row r="62" spans="2:17" ht="18" customHeight="1">
      <c r="B62" s="107" t="str">
        <f>IF(Textes!G2=1,Textes!A99,"")</f>
        <v/>
      </c>
      <c r="C62" s="125"/>
      <c r="D62" s="125"/>
      <c r="E62" s="107"/>
      <c r="F62" s="125"/>
      <c r="G62" s="125"/>
      <c r="H62" s="125"/>
    </row>
    <row r="63" spans="2:17" ht="4.5" customHeight="1">
      <c r="C63" s="126"/>
      <c r="D63" s="126"/>
      <c r="F63" s="126"/>
      <c r="H63" s="126"/>
    </row>
    <row r="64" spans="2:17" ht="21" customHeight="1">
      <c r="B64" s="29" t="str">
        <f>+Textes!A70</f>
        <v>Kantonale Kontrollstelle, Datum:</v>
      </c>
      <c r="C64" s="30"/>
      <c r="D64" s="30"/>
      <c r="E64" s="30"/>
      <c r="F64" s="30" t="str">
        <f>+Textes!A71</f>
        <v>Unterschrift:</v>
      </c>
      <c r="G64" s="30"/>
      <c r="H64" s="31"/>
    </row>
    <row r="65" spans="2:10" ht="4.5" customHeight="1">
      <c r="E65" s="127"/>
      <c r="J65" s="1" t="s">
        <v>447</v>
      </c>
    </row>
    <row r="66" spans="2:10" ht="21" customHeight="1">
      <c r="B66" s="29" t="str">
        <f>+Textes!A74</f>
        <v>Betriebsleiter, Datum:</v>
      </c>
      <c r="C66" s="30"/>
      <c r="D66" s="30"/>
      <c r="E66" s="30"/>
      <c r="F66" s="30" t="str">
        <f>+Textes!A71</f>
        <v>Unterschrift:</v>
      </c>
      <c r="G66" s="30"/>
      <c r="H66" s="31"/>
    </row>
    <row r="67" spans="2:10" ht="6" customHeight="1">
      <c r="F67" s="10"/>
      <c r="G67" s="10"/>
    </row>
    <row r="68" spans="2:10" ht="9.9499999999999993" customHeight="1">
      <c r="F68" s="10"/>
      <c r="G68" s="10"/>
    </row>
    <row r="69" spans="2:10">
      <c r="F69" s="10"/>
      <c r="G69" s="10"/>
    </row>
  </sheetData>
  <sheetProtection password="8C69" sheet="1" scenarios="1"/>
  <phoneticPr fontId="28" type="noConversion"/>
  <pageMargins left="0.59055118110236227" right="0.39370078740157483" top="0.39370078740157483" bottom="0.32" header="0.11811023622047245" footer="0.11811023622047245"/>
  <pageSetup paperSize="9" scale="92" orientation="portrait" r:id="rId1"/>
  <headerFooter alignWithMargins="0">
    <oddFooter>&amp;C&amp;9&amp;F&amp;L&amp;"Arial,Fett"&amp;11AGRIDEA &amp;"Arial,Standard"&amp;9Impex, Version 2.6&amp;R&amp;"Arial,Standard"&amp;9&amp;D / 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8" r:id="rId4" name="cboAusbeute">
              <controlPr defaultSize="0" autoFill="0" autoLine="0" autoPict="0">
                <anchor moveWithCells="1">
                  <from>
                    <xdr:col>6</xdr:col>
                    <xdr:colOff>238125</xdr:colOff>
                    <xdr:row>1</xdr:row>
                    <xdr:rowOff>76200</xdr:rowOff>
                  </from>
                  <to>
                    <xdr:col>7</xdr:col>
                    <xdr:colOff>904875</xdr:colOff>
                    <xdr:row>2</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O65"/>
  <sheetViews>
    <sheetView showGridLines="0" showRowColHeaders="0" showZeros="0" zoomScaleNormal="100" workbookViewId="0">
      <selection activeCell="B14" sqref="B14"/>
    </sheetView>
  </sheetViews>
  <sheetFormatPr baseColWidth="10" defaultColWidth="11.42578125" defaultRowHeight="12.75"/>
  <cols>
    <col min="1" max="1" width="1.42578125" style="1" customWidth="1"/>
    <col min="2" max="9" width="12.5703125" style="1" customWidth="1"/>
    <col min="10" max="10" width="1.42578125" style="1" customWidth="1"/>
    <col min="11" max="12" width="11.42578125" style="1"/>
    <col min="13" max="15" width="11.42578125" style="6"/>
    <col min="16" max="16384" width="11.42578125" style="1"/>
  </cols>
  <sheetData>
    <row r="1" spans="2:9" ht="43.7" customHeight="1">
      <c r="D1" s="186" t="str">
        <f>+A2a!D1</f>
        <v>Impex:   Mastpoulets</v>
      </c>
      <c r="I1" s="187" t="str">
        <f>"B1: "&amp;Textes!A100</f>
        <v>B1: Mischfutterzufuhr</v>
      </c>
    </row>
    <row r="2" spans="2:9" ht="15">
      <c r="B2" s="679" t="str">
        <f>Inv!C4&amp;IF(Inv!D4=0,"",Inv!D4)</f>
        <v xml:space="preserve">Betriebs-Nr:    </v>
      </c>
      <c r="C2" s="191"/>
      <c r="D2" s="680"/>
      <c r="E2" s="681"/>
      <c r="F2" s="682" t="str">
        <f>Inv!C5&amp;IF(Inv!D5=0,"",Inv!D6&amp;" "&amp;Inv!D5)</f>
        <v xml:space="preserve">Name:    </v>
      </c>
      <c r="H2" s="110"/>
    </row>
    <row r="3" spans="2:9" s="6" customFormat="1">
      <c r="B3" s="217"/>
    </row>
    <row r="4" spans="2:9" ht="14.25">
      <c r="B4" s="222" t="str">
        <f>+Textes!A102</f>
        <v>Futterlieferant</v>
      </c>
      <c r="C4" s="223"/>
      <c r="D4" s="222" t="str">
        <f>+B4</f>
        <v>Futterlieferant</v>
      </c>
      <c r="E4" s="223"/>
      <c r="F4" s="192" t="str">
        <f>+D4</f>
        <v>Futterlieferant</v>
      </c>
      <c r="G4" s="181"/>
      <c r="H4" s="222" t="str">
        <f>+F4</f>
        <v>Futterlieferant</v>
      </c>
      <c r="I4" s="223"/>
    </row>
    <row r="5" spans="2:9" s="7" customFormat="1" ht="18">
      <c r="B5" s="231"/>
      <c r="C5" s="198"/>
      <c r="D5" s="226"/>
      <c r="E5" s="198"/>
      <c r="F5" s="227"/>
      <c r="G5" s="224"/>
      <c r="H5" s="226"/>
      <c r="I5" s="198"/>
    </row>
    <row r="6" spans="2:9" s="42" customFormat="1" ht="15.75">
      <c r="B6" s="232" t="str">
        <f>IF(Inv!B28=0,"",+Inv!B28)</f>
        <v/>
      </c>
      <c r="C6" s="195"/>
      <c r="D6" s="232" t="str">
        <f>IF(Inv!B29=0,"",Inv!B29)</f>
        <v/>
      </c>
      <c r="E6" s="195"/>
      <c r="F6" s="232" t="str">
        <f>IF(Inv!B30=0,"",Inv!B30)</f>
        <v/>
      </c>
      <c r="G6" s="195"/>
      <c r="H6" s="232" t="str">
        <f>IF(Inv!B31=0,"",Inv!B31)</f>
        <v/>
      </c>
      <c r="I6" s="195"/>
    </row>
    <row r="7" spans="2:9" s="42" customFormat="1" ht="15">
      <c r="B7" s="112" t="str">
        <f>+Inv!F26</f>
        <v>TS in %</v>
      </c>
      <c r="C7" s="113" t="str">
        <f>IF(Inv!F28=0,"",Inv!F28)</f>
        <v/>
      </c>
      <c r="D7" s="112" t="str">
        <f>+B7</f>
        <v>TS in %</v>
      </c>
      <c r="E7" s="114" t="str">
        <f>IF(Inv!F29=0,"",Inv!F29)</f>
        <v/>
      </c>
      <c r="F7" s="112" t="str">
        <f>+B7</f>
        <v>TS in %</v>
      </c>
      <c r="G7" s="114" t="str">
        <f>IF(Inv!F30=0,"",Inv!F30)</f>
        <v/>
      </c>
      <c r="H7" s="112" t="str">
        <f>+B7</f>
        <v>TS in %</v>
      </c>
      <c r="I7" s="114" t="str">
        <f>IF(Inv!F31=0,"",Inv!F31)</f>
        <v/>
      </c>
    </row>
    <row r="8" spans="2:9" s="42" customFormat="1" ht="15">
      <c r="B8" s="196" t="str">
        <f>+Textes!A103</f>
        <v>pro kg Futter</v>
      </c>
      <c r="C8" s="197"/>
      <c r="D8" s="196" t="str">
        <f>+B8</f>
        <v>pro kg Futter</v>
      </c>
      <c r="E8" s="197"/>
      <c r="F8" s="196" t="str">
        <f>+D8</f>
        <v>pro kg Futter</v>
      </c>
      <c r="G8" s="197"/>
      <c r="H8" s="196" t="str">
        <f>+F8</f>
        <v>pro kg Futter</v>
      </c>
      <c r="I8" s="197"/>
    </row>
    <row r="9" spans="2:9" ht="14.25">
      <c r="B9" s="115" t="str">
        <f>+Inv!G26</f>
        <v>MJ UEG</v>
      </c>
      <c r="C9" s="116" t="str">
        <f>IF(Inv!G28=0,"",Inv!G28)</f>
        <v/>
      </c>
      <c r="D9" s="115" t="str">
        <f>B9</f>
        <v>MJ UEG</v>
      </c>
      <c r="E9" s="116" t="str">
        <f>IF(Inv!G29=0,"",Inv!G29)</f>
        <v/>
      </c>
      <c r="F9" s="115" t="str">
        <f>B9</f>
        <v>MJ UEG</v>
      </c>
      <c r="G9" s="116" t="str">
        <f>IF(Inv!G30=0,"",Inv!G30)</f>
        <v/>
      </c>
      <c r="H9" s="115" t="str">
        <f>B9</f>
        <v>MJ UEG</v>
      </c>
      <c r="I9" s="116" t="str">
        <f>IF(Inv!G31=0,"",Inv!G31)</f>
        <v/>
      </c>
    </row>
    <row r="10" spans="2:9" s="8" customFormat="1" ht="14.25">
      <c r="B10" s="115" t="str">
        <f>+Inv!H26</f>
        <v>g RP</v>
      </c>
      <c r="C10" s="111" t="str">
        <f>IF(Inv!H28=0,"",Inv!H28)</f>
        <v/>
      </c>
      <c r="D10" s="115" t="str">
        <f>B10</f>
        <v>g RP</v>
      </c>
      <c r="E10" s="111" t="str">
        <f>IF(Inv!H29=0,"",Inv!H29)</f>
        <v/>
      </c>
      <c r="F10" s="115" t="str">
        <f>B10</f>
        <v>g RP</v>
      </c>
      <c r="G10" s="111" t="str">
        <f>IF(Inv!H30=0,"",Inv!H30)</f>
        <v/>
      </c>
      <c r="H10" s="115" t="str">
        <f>B10</f>
        <v>g RP</v>
      </c>
      <c r="I10" s="111" t="str">
        <f>IF(Inv!H31=0,"",Inv!H31)</f>
        <v/>
      </c>
    </row>
    <row r="11" spans="2:9" s="8" customFormat="1" ht="14.25">
      <c r="B11" s="117" t="str">
        <f>+Inv!I26</f>
        <v>g P</v>
      </c>
      <c r="C11" s="61" t="str">
        <f>IF(Inv!I28=0,"",Inv!I28)</f>
        <v/>
      </c>
      <c r="D11" s="117" t="str">
        <f>B11</f>
        <v>g P</v>
      </c>
      <c r="E11" s="61" t="str">
        <f>IF(Inv!I29=0,"",Inv!I29)</f>
        <v/>
      </c>
      <c r="F11" s="117" t="str">
        <f>B11</f>
        <v>g P</v>
      </c>
      <c r="G11" s="61" t="str">
        <f>IF(Inv!I30=0,"",Inv!I30)</f>
        <v/>
      </c>
      <c r="H11" s="117" t="str">
        <f>B11</f>
        <v>g P</v>
      </c>
      <c r="I11" s="61" t="str">
        <f>IF(Inv!I31=0,"",Inv!I31)</f>
        <v/>
      </c>
    </row>
    <row r="12" spans="2:9" ht="14.25">
      <c r="B12" s="48" t="str">
        <f>+Textes!A104</f>
        <v>Datum</v>
      </c>
      <c r="C12" s="49" t="str">
        <f>+Textes!A105</f>
        <v>kg Futter</v>
      </c>
      <c r="D12" s="48" t="str">
        <f t="shared" ref="D12:I12" si="0">+B12</f>
        <v>Datum</v>
      </c>
      <c r="E12" s="49" t="str">
        <f t="shared" si="0"/>
        <v>kg Futter</v>
      </c>
      <c r="F12" s="48" t="str">
        <f t="shared" si="0"/>
        <v>Datum</v>
      </c>
      <c r="G12" s="49" t="str">
        <f t="shared" si="0"/>
        <v>kg Futter</v>
      </c>
      <c r="H12" s="33" t="str">
        <f t="shared" si="0"/>
        <v>Datum</v>
      </c>
      <c r="I12" s="34" t="str">
        <f t="shared" si="0"/>
        <v>kg Futter</v>
      </c>
    </row>
    <row r="13" spans="2:9" s="9" customFormat="1" ht="15" hidden="1" customHeight="1">
      <c r="B13" s="269"/>
      <c r="C13" s="266"/>
      <c r="D13" s="269"/>
      <c r="E13" s="266"/>
      <c r="F13" s="269"/>
      <c r="G13" s="266"/>
      <c r="H13" s="269"/>
      <c r="I13" s="266"/>
    </row>
    <row r="14" spans="2:9" s="9" customFormat="1" ht="15" customHeight="1">
      <c r="B14" s="269"/>
      <c r="C14" s="266"/>
      <c r="D14" s="269"/>
      <c r="E14" s="266"/>
      <c r="F14" s="269"/>
      <c r="G14" s="266"/>
      <c r="H14" s="269"/>
      <c r="I14" s="266"/>
    </row>
    <row r="15" spans="2:9" s="9" customFormat="1" ht="15" customHeight="1">
      <c r="B15" s="269"/>
      <c r="C15" s="266"/>
      <c r="D15" s="269"/>
      <c r="E15" s="266"/>
      <c r="F15" s="269"/>
      <c r="G15" s="266"/>
      <c r="H15" s="269"/>
      <c r="I15" s="266"/>
    </row>
    <row r="16" spans="2:9" s="9" customFormat="1" ht="15" customHeight="1">
      <c r="B16" s="269"/>
      <c r="C16" s="266"/>
      <c r="D16" s="269"/>
      <c r="E16" s="266"/>
      <c r="F16" s="269"/>
      <c r="G16" s="266"/>
      <c r="H16" s="269"/>
      <c r="I16" s="266"/>
    </row>
    <row r="17" spans="2:15" s="9" customFormat="1" ht="15" customHeight="1">
      <c r="B17" s="269"/>
      <c r="C17" s="266"/>
      <c r="D17" s="269"/>
      <c r="E17" s="266"/>
      <c r="F17" s="269"/>
      <c r="G17" s="266"/>
      <c r="H17" s="269"/>
      <c r="I17" s="266"/>
    </row>
    <row r="18" spans="2:15" s="9" customFormat="1" ht="15" customHeight="1">
      <c r="B18" s="269"/>
      <c r="C18" s="266"/>
      <c r="D18" s="269"/>
      <c r="E18" s="266"/>
      <c r="F18" s="269"/>
      <c r="G18" s="266"/>
      <c r="H18" s="269"/>
      <c r="I18" s="266"/>
      <c r="M18" s="6"/>
      <c r="N18" s="6"/>
      <c r="O18" s="6"/>
    </row>
    <row r="19" spans="2:15" s="9" customFormat="1" ht="15" customHeight="1">
      <c r="B19" s="269"/>
      <c r="C19" s="266"/>
      <c r="D19" s="269"/>
      <c r="E19" s="266"/>
      <c r="F19" s="269"/>
      <c r="G19" s="266"/>
      <c r="H19" s="269"/>
      <c r="I19" s="266"/>
      <c r="M19" s="6"/>
      <c r="N19" s="6"/>
      <c r="O19" s="6"/>
    </row>
    <row r="20" spans="2:15" s="9" customFormat="1" ht="15" customHeight="1">
      <c r="B20" s="269"/>
      <c r="C20" s="266"/>
      <c r="D20" s="269"/>
      <c r="E20" s="266"/>
      <c r="F20" s="269"/>
      <c r="G20" s="266"/>
      <c r="H20" s="269"/>
      <c r="I20" s="266"/>
      <c r="M20" s="6"/>
      <c r="N20" s="6"/>
      <c r="O20" s="6"/>
    </row>
    <row r="21" spans="2:15" s="9" customFormat="1" ht="15" customHeight="1">
      <c r="B21" s="269"/>
      <c r="C21" s="266"/>
      <c r="D21" s="269"/>
      <c r="E21" s="266"/>
      <c r="F21" s="269"/>
      <c r="G21" s="266"/>
      <c r="H21" s="269"/>
      <c r="I21" s="266"/>
      <c r="M21" s="6"/>
      <c r="N21" s="6"/>
      <c r="O21" s="6"/>
    </row>
    <row r="22" spans="2:15" s="9" customFormat="1" ht="15" customHeight="1">
      <c r="B22" s="269"/>
      <c r="C22" s="266"/>
      <c r="D22" s="269"/>
      <c r="E22" s="266"/>
      <c r="F22" s="269"/>
      <c r="G22" s="266"/>
      <c r="H22" s="269"/>
      <c r="I22" s="266"/>
      <c r="M22" s="6"/>
      <c r="N22" s="6"/>
      <c r="O22" s="6"/>
    </row>
    <row r="23" spans="2:15" s="9" customFormat="1" ht="15" customHeight="1">
      <c r="B23" s="269"/>
      <c r="C23" s="266"/>
      <c r="D23" s="269"/>
      <c r="E23" s="266"/>
      <c r="F23" s="269"/>
      <c r="G23" s="266"/>
      <c r="H23" s="269"/>
      <c r="I23" s="266"/>
      <c r="M23" s="6"/>
      <c r="N23" s="6"/>
      <c r="O23" s="6"/>
    </row>
    <row r="24" spans="2:15" s="9" customFormat="1" ht="15" customHeight="1">
      <c r="B24" s="269"/>
      <c r="C24" s="266"/>
      <c r="D24" s="269"/>
      <c r="E24" s="266"/>
      <c r="F24" s="269"/>
      <c r="G24" s="266"/>
      <c r="H24" s="269"/>
      <c r="I24" s="266"/>
      <c r="M24" s="6"/>
      <c r="N24" s="6"/>
      <c r="O24" s="6"/>
    </row>
    <row r="25" spans="2:15" s="9" customFormat="1" ht="15" customHeight="1">
      <c r="B25" s="269"/>
      <c r="C25" s="266"/>
      <c r="D25" s="269"/>
      <c r="E25" s="266"/>
      <c r="F25" s="269"/>
      <c r="G25" s="266"/>
      <c r="H25" s="269"/>
      <c r="I25" s="266"/>
      <c r="M25" s="6"/>
      <c r="N25" s="6"/>
      <c r="O25" s="6"/>
    </row>
    <row r="26" spans="2:15" s="9" customFormat="1" ht="15" customHeight="1">
      <c r="B26" s="269"/>
      <c r="C26" s="266"/>
      <c r="D26" s="269"/>
      <c r="E26" s="266"/>
      <c r="F26" s="269"/>
      <c r="G26" s="266"/>
      <c r="H26" s="269"/>
      <c r="I26" s="266"/>
      <c r="M26" s="6"/>
      <c r="N26" s="6"/>
      <c r="O26" s="6"/>
    </row>
    <row r="27" spans="2:15" s="9" customFormat="1" ht="15" customHeight="1">
      <c r="B27" s="269"/>
      <c r="C27" s="266"/>
      <c r="D27" s="269"/>
      <c r="E27" s="266"/>
      <c r="F27" s="269"/>
      <c r="G27" s="266"/>
      <c r="H27" s="269"/>
      <c r="I27" s="266"/>
      <c r="M27" s="6"/>
      <c r="N27" s="6"/>
      <c r="O27" s="6"/>
    </row>
    <row r="28" spans="2:15" s="9" customFormat="1" ht="15" customHeight="1">
      <c r="B28" s="269"/>
      <c r="C28" s="266"/>
      <c r="D28" s="269"/>
      <c r="E28" s="266"/>
      <c r="F28" s="269"/>
      <c r="G28" s="266"/>
      <c r="H28" s="269"/>
      <c r="I28" s="266"/>
      <c r="M28" s="6"/>
      <c r="N28" s="6"/>
      <c r="O28" s="6"/>
    </row>
    <row r="29" spans="2:15" s="9" customFormat="1" ht="15" customHeight="1">
      <c r="B29" s="269"/>
      <c r="C29" s="266"/>
      <c r="D29" s="269"/>
      <c r="E29" s="266"/>
      <c r="F29" s="269"/>
      <c r="G29" s="266"/>
      <c r="H29" s="269"/>
      <c r="I29" s="266"/>
      <c r="M29" s="6"/>
      <c r="N29" s="6"/>
      <c r="O29" s="6"/>
    </row>
    <row r="30" spans="2:15" s="9" customFormat="1" ht="15" customHeight="1">
      <c r="B30" s="269"/>
      <c r="C30" s="266"/>
      <c r="D30" s="269"/>
      <c r="E30" s="266"/>
      <c r="F30" s="269"/>
      <c r="G30" s="266"/>
      <c r="H30" s="269"/>
      <c r="I30" s="266"/>
      <c r="M30" s="6"/>
      <c r="N30" s="6"/>
      <c r="O30" s="6"/>
    </row>
    <row r="31" spans="2:15" s="9" customFormat="1" ht="15" customHeight="1">
      <c r="B31" s="269"/>
      <c r="C31" s="266"/>
      <c r="D31" s="269"/>
      <c r="E31" s="266"/>
      <c r="F31" s="269"/>
      <c r="G31" s="266"/>
      <c r="H31" s="269"/>
      <c r="I31" s="266"/>
      <c r="M31" s="6"/>
      <c r="N31" s="6"/>
      <c r="O31" s="6"/>
    </row>
    <row r="32" spans="2:15" s="9" customFormat="1" ht="15" customHeight="1">
      <c r="B32" s="269"/>
      <c r="C32" s="266"/>
      <c r="D32" s="269"/>
      <c r="E32" s="266"/>
      <c r="F32" s="269"/>
      <c r="G32" s="266"/>
      <c r="H32" s="269"/>
      <c r="I32" s="266"/>
      <c r="M32" s="6"/>
      <c r="N32" s="6"/>
      <c r="O32" s="6"/>
    </row>
    <row r="33" spans="2:15" s="9" customFormat="1" ht="15" customHeight="1">
      <c r="B33" s="269"/>
      <c r="C33" s="266"/>
      <c r="D33" s="269"/>
      <c r="E33" s="266"/>
      <c r="F33" s="269"/>
      <c r="G33" s="266"/>
      <c r="H33" s="269"/>
      <c r="I33" s="266"/>
      <c r="M33" s="6"/>
      <c r="N33" s="6"/>
      <c r="O33" s="6"/>
    </row>
    <row r="34" spans="2:15" s="9" customFormat="1" ht="15" customHeight="1">
      <c r="B34" s="269"/>
      <c r="C34" s="266"/>
      <c r="D34" s="269"/>
      <c r="E34" s="266"/>
      <c r="F34" s="269"/>
      <c r="G34" s="266"/>
      <c r="H34" s="269"/>
      <c r="I34" s="266"/>
      <c r="M34" s="6"/>
      <c r="N34" s="6"/>
      <c r="O34" s="6"/>
    </row>
    <row r="35" spans="2:15" s="9" customFormat="1" ht="15" customHeight="1">
      <c r="B35" s="269"/>
      <c r="C35" s="266"/>
      <c r="D35" s="269"/>
      <c r="E35" s="266"/>
      <c r="F35" s="269"/>
      <c r="G35" s="266"/>
      <c r="H35" s="269"/>
      <c r="I35" s="266"/>
      <c r="M35" s="6"/>
      <c r="N35" s="6"/>
      <c r="O35" s="6"/>
    </row>
    <row r="36" spans="2:15" s="9" customFormat="1" ht="15" customHeight="1">
      <c r="B36" s="269"/>
      <c r="C36" s="266"/>
      <c r="D36" s="269"/>
      <c r="E36" s="266"/>
      <c r="F36" s="269"/>
      <c r="G36" s="266"/>
      <c r="H36" s="269"/>
      <c r="I36" s="266"/>
      <c r="M36" s="6"/>
      <c r="N36" s="6"/>
      <c r="O36" s="6"/>
    </row>
    <row r="37" spans="2:15" s="9" customFormat="1" ht="15" customHeight="1">
      <c r="B37" s="269"/>
      <c r="C37" s="266"/>
      <c r="D37" s="269"/>
      <c r="E37" s="266"/>
      <c r="F37" s="269"/>
      <c r="G37" s="266"/>
      <c r="H37" s="269"/>
      <c r="I37" s="266"/>
      <c r="M37" s="6"/>
      <c r="N37" s="6"/>
      <c r="O37" s="6"/>
    </row>
    <row r="38" spans="2:15" s="9" customFormat="1" ht="15" customHeight="1">
      <c r="B38" s="269"/>
      <c r="C38" s="266"/>
      <c r="D38" s="269"/>
      <c r="E38" s="266"/>
      <c r="F38" s="269"/>
      <c r="G38" s="266"/>
      <c r="H38" s="269"/>
      <c r="I38" s="266"/>
      <c r="M38" s="6"/>
      <c r="N38" s="6"/>
      <c r="O38" s="6"/>
    </row>
    <row r="39" spans="2:15" s="9" customFormat="1" ht="15" customHeight="1">
      <c r="B39" s="269"/>
      <c r="C39" s="266"/>
      <c r="D39" s="269"/>
      <c r="E39" s="266"/>
      <c r="F39" s="269"/>
      <c r="G39" s="266"/>
      <c r="H39" s="269"/>
      <c r="I39" s="266"/>
      <c r="M39" s="6"/>
      <c r="N39" s="6"/>
      <c r="O39" s="6"/>
    </row>
    <row r="40" spans="2:15" s="9" customFormat="1" ht="15" customHeight="1">
      <c r="B40" s="269"/>
      <c r="C40" s="266"/>
      <c r="D40" s="269"/>
      <c r="E40" s="266"/>
      <c r="F40" s="269"/>
      <c r="G40" s="266"/>
      <c r="H40" s="269"/>
      <c r="I40" s="266"/>
      <c r="M40" s="6"/>
      <c r="N40" s="6"/>
      <c r="O40" s="6"/>
    </row>
    <row r="41" spans="2:15" s="9" customFormat="1" ht="15" customHeight="1">
      <c r="B41" s="269"/>
      <c r="C41" s="266"/>
      <c r="D41" s="269"/>
      <c r="E41" s="266"/>
      <c r="F41" s="269"/>
      <c r="G41" s="266"/>
      <c r="H41" s="269"/>
      <c r="I41" s="266"/>
      <c r="M41" s="6"/>
      <c r="N41" s="6"/>
      <c r="O41" s="6"/>
    </row>
    <row r="42" spans="2:15" s="9" customFormat="1" ht="15" customHeight="1">
      <c r="B42" s="269"/>
      <c r="C42" s="266"/>
      <c r="D42" s="269"/>
      <c r="E42" s="266"/>
      <c r="F42" s="269"/>
      <c r="G42" s="266"/>
      <c r="H42" s="269"/>
      <c r="I42" s="266"/>
      <c r="M42" s="6"/>
      <c r="N42" s="6"/>
      <c r="O42" s="6"/>
    </row>
    <row r="43" spans="2:15" s="9" customFormat="1" ht="15" customHeight="1">
      <c r="B43" s="269"/>
      <c r="C43" s="266"/>
      <c r="D43" s="269"/>
      <c r="E43" s="266"/>
      <c r="F43" s="269"/>
      <c r="G43" s="266"/>
      <c r="H43" s="269"/>
      <c r="I43" s="266"/>
      <c r="M43" s="6"/>
      <c r="N43" s="6"/>
      <c r="O43" s="6"/>
    </row>
    <row r="44" spans="2:15" s="9" customFormat="1" ht="15" customHeight="1">
      <c r="B44" s="269"/>
      <c r="C44" s="266"/>
      <c r="D44" s="269"/>
      <c r="E44" s="266"/>
      <c r="F44" s="269"/>
      <c r="G44" s="266"/>
      <c r="H44" s="269"/>
      <c r="I44" s="266"/>
      <c r="M44" s="6"/>
      <c r="N44" s="6"/>
      <c r="O44" s="6"/>
    </row>
    <row r="45" spans="2:15" s="9" customFormat="1" ht="15" customHeight="1">
      <c r="B45" s="269"/>
      <c r="C45" s="266"/>
      <c r="D45" s="269"/>
      <c r="E45" s="266"/>
      <c r="F45" s="269"/>
      <c r="G45" s="266"/>
      <c r="H45" s="269"/>
      <c r="I45" s="266"/>
      <c r="M45" s="6"/>
      <c r="N45" s="6"/>
      <c r="O45" s="6"/>
    </row>
    <row r="46" spans="2:15" s="9" customFormat="1" ht="15" customHeight="1">
      <c r="B46" s="269"/>
      <c r="C46" s="266"/>
      <c r="D46" s="269"/>
      <c r="E46" s="266"/>
      <c r="F46" s="269"/>
      <c r="G46" s="266"/>
      <c r="H46" s="269"/>
      <c r="I46" s="266"/>
      <c r="M46" s="6"/>
      <c r="N46" s="6"/>
      <c r="O46" s="6"/>
    </row>
    <row r="47" spans="2:15" s="9" customFormat="1" ht="15" customHeight="1">
      <c r="B47" s="269"/>
      <c r="C47" s="266"/>
      <c r="D47" s="269"/>
      <c r="E47" s="266"/>
      <c r="F47" s="269"/>
      <c r="G47" s="266"/>
      <c r="H47" s="269"/>
      <c r="I47" s="266"/>
      <c r="M47" s="6"/>
      <c r="N47" s="6"/>
      <c r="O47" s="6"/>
    </row>
    <row r="48" spans="2:15" s="9" customFormat="1" ht="15" customHeight="1">
      <c r="B48" s="269"/>
      <c r="C48" s="266"/>
      <c r="D48" s="269"/>
      <c r="E48" s="266"/>
      <c r="F48" s="269"/>
      <c r="G48" s="266"/>
      <c r="H48" s="269"/>
      <c r="I48" s="266"/>
      <c r="M48" s="6"/>
      <c r="N48" s="6"/>
      <c r="O48" s="6"/>
    </row>
    <row r="49" spans="1:15" s="9" customFormat="1" ht="15" customHeight="1">
      <c r="B49" s="269"/>
      <c r="C49" s="266"/>
      <c r="D49" s="269"/>
      <c r="E49" s="266"/>
      <c r="F49" s="269"/>
      <c r="G49" s="266"/>
      <c r="H49" s="269"/>
      <c r="I49" s="266"/>
      <c r="M49" s="6"/>
      <c r="N49" s="6"/>
      <c r="O49" s="6"/>
    </row>
    <row r="50" spans="1:15" s="9" customFormat="1" ht="15" customHeight="1">
      <c r="B50" s="269"/>
      <c r="C50" s="266"/>
      <c r="D50" s="269"/>
      <c r="E50" s="266"/>
      <c r="F50" s="269"/>
      <c r="G50" s="266"/>
      <c r="H50" s="269"/>
      <c r="I50" s="266"/>
      <c r="M50" s="6"/>
      <c r="N50" s="6"/>
      <c r="O50" s="6"/>
    </row>
    <row r="51" spans="1:15" s="9" customFormat="1" ht="15" customHeight="1">
      <c r="B51" s="269"/>
      <c r="C51" s="266"/>
      <c r="D51" s="269"/>
      <c r="E51" s="266"/>
      <c r="F51" s="269"/>
      <c r="G51" s="266"/>
      <c r="H51" s="269"/>
      <c r="I51" s="266"/>
      <c r="M51" s="6"/>
      <c r="N51" s="6"/>
      <c r="O51" s="6"/>
    </row>
    <row r="52" spans="1:15" s="9" customFormat="1" ht="15" customHeight="1">
      <c r="B52" s="269"/>
      <c r="C52" s="266"/>
      <c r="D52" s="269"/>
      <c r="E52" s="266"/>
      <c r="F52" s="269"/>
      <c r="G52" s="266"/>
      <c r="H52" s="269"/>
      <c r="I52" s="266"/>
      <c r="M52" s="6"/>
      <c r="N52" s="6"/>
      <c r="O52" s="6"/>
    </row>
    <row r="53" spans="1:15" s="9" customFormat="1" ht="15" customHeight="1">
      <c r="B53" s="269"/>
      <c r="C53" s="266"/>
      <c r="D53" s="269"/>
      <c r="E53" s="266"/>
      <c r="F53" s="269"/>
      <c r="G53" s="266"/>
      <c r="H53" s="269"/>
      <c r="I53" s="266"/>
      <c r="M53" s="6"/>
      <c r="N53" s="6"/>
      <c r="O53" s="6"/>
    </row>
    <row r="54" spans="1:15" s="9" customFormat="1" ht="15" customHeight="1">
      <c r="B54" s="269"/>
      <c r="C54" s="266"/>
      <c r="D54" s="269"/>
      <c r="E54" s="266"/>
      <c r="F54" s="269"/>
      <c r="G54" s="266"/>
      <c r="H54" s="269"/>
      <c r="I54" s="266"/>
      <c r="M54" s="6"/>
      <c r="N54" s="6"/>
      <c r="O54" s="6"/>
    </row>
    <row r="55" spans="1:15" s="9" customFormat="1" ht="15" customHeight="1">
      <c r="B55" s="269"/>
      <c r="C55" s="266"/>
      <c r="D55" s="269"/>
      <c r="E55" s="266"/>
      <c r="F55" s="269"/>
      <c r="G55" s="266"/>
      <c r="H55" s="269"/>
      <c r="I55" s="266"/>
      <c r="M55" s="6"/>
      <c r="N55" s="6"/>
      <c r="O55" s="6"/>
    </row>
    <row r="56" spans="1:15" s="9" customFormat="1" ht="15" customHeight="1">
      <c r="B56" s="269"/>
      <c r="C56" s="266"/>
      <c r="D56" s="269"/>
      <c r="E56" s="266"/>
      <c r="F56" s="269"/>
      <c r="G56" s="266"/>
      <c r="H56" s="269"/>
      <c r="I56" s="266"/>
      <c r="M56" s="6"/>
      <c r="N56" s="6"/>
      <c r="O56" s="6"/>
    </row>
    <row r="57" spans="1:15" s="9" customFormat="1" ht="15" customHeight="1">
      <c r="B57" s="269"/>
      <c r="C57" s="266"/>
      <c r="D57" s="269"/>
      <c r="E57" s="266"/>
      <c r="F57" s="269"/>
      <c r="G57" s="266"/>
      <c r="H57" s="269"/>
      <c r="I57" s="266"/>
      <c r="M57" s="6"/>
      <c r="N57" s="6"/>
      <c r="O57" s="6"/>
    </row>
    <row r="58" spans="1:15" s="3" customFormat="1" ht="14.25">
      <c r="B58" s="27" t="str">
        <f>+Textes!A106</f>
        <v>Total Zufuhr</v>
      </c>
      <c r="C58" s="271">
        <f>IF(SUM(C13:C57)=0,0,SUM(C13:C57))</f>
        <v>0</v>
      </c>
      <c r="D58" s="27" t="str">
        <f>+B58</f>
        <v>Total Zufuhr</v>
      </c>
      <c r="E58" s="273">
        <f>IF(SUM(E13:E57)=0,0,SUM(E13:E57))</f>
        <v>0</v>
      </c>
      <c r="F58" s="27" t="str">
        <f>+D58</f>
        <v>Total Zufuhr</v>
      </c>
      <c r="G58" s="273">
        <f>IF(SUM(G13:G57)=0,0,SUM(G13:G57))</f>
        <v>0</v>
      </c>
      <c r="H58" s="27" t="str">
        <f>+F58</f>
        <v>Total Zufuhr</v>
      </c>
      <c r="I58" s="271">
        <f>IF(SUM(I13:I57)=0,0,SUM(I13:I57))</f>
        <v>0</v>
      </c>
      <c r="L58" s="9"/>
      <c r="M58" s="6"/>
      <c r="N58" s="6"/>
      <c r="O58" s="6"/>
    </row>
    <row r="59" spans="1:15" s="3" customFormat="1" ht="3" customHeight="1">
      <c r="B59" s="6"/>
      <c r="C59" s="6"/>
      <c r="D59" s="6"/>
      <c r="E59" s="6"/>
      <c r="F59" s="6"/>
      <c r="G59" s="6"/>
      <c r="H59" s="6"/>
      <c r="I59" s="6"/>
      <c r="M59" s="6"/>
      <c r="N59" s="6"/>
      <c r="O59" s="6"/>
    </row>
    <row r="60" spans="1:15" ht="18" customHeight="1">
      <c r="B60" s="6" t="str">
        <f>+Textes!A109</f>
        <v>Es müssen alle eingesetzten Futtermittel erfasst werden.</v>
      </c>
      <c r="C60" s="6"/>
      <c r="D60" s="6"/>
      <c r="E60" s="6"/>
      <c r="F60" s="6"/>
      <c r="G60" s="6"/>
      <c r="H60" s="6"/>
      <c r="L60" s="3"/>
    </row>
    <row r="61" spans="1:15" s="3" customFormat="1" ht="4.5" customHeight="1">
      <c r="A61" s="1"/>
      <c r="J61" s="1"/>
      <c r="L61" s="1"/>
      <c r="M61" s="6"/>
      <c r="N61" s="6"/>
      <c r="O61" s="6"/>
    </row>
    <row r="62" spans="1:15" ht="21" customHeight="1">
      <c r="A62" s="3"/>
      <c r="B62" s="29" t="str">
        <f>+Inv!B80</f>
        <v>Kantonale Kontrollstelle, Datum:</v>
      </c>
      <c r="C62" s="30"/>
      <c r="D62" s="30"/>
      <c r="E62" s="30"/>
      <c r="F62" s="30" t="str">
        <f>+Inv!H80</f>
        <v>Unterschrift:</v>
      </c>
      <c r="G62" s="30"/>
      <c r="H62" s="30"/>
      <c r="I62" s="31"/>
      <c r="J62" s="3"/>
      <c r="L62" s="3"/>
    </row>
    <row r="63" spans="1:15" ht="4.5" customHeight="1"/>
    <row r="64" spans="1:15" ht="21" customHeight="1">
      <c r="B64" s="29" t="str">
        <f>+Inv!B82</f>
        <v>Betriebsleiter, Datum:</v>
      </c>
      <c r="C64" s="30"/>
      <c r="D64" s="30"/>
      <c r="E64" s="30"/>
      <c r="F64" s="30" t="str">
        <f>+Inv!H82</f>
        <v>Unterschrift:</v>
      </c>
      <c r="G64" s="30"/>
      <c r="H64" s="30"/>
      <c r="I64" s="31"/>
    </row>
    <row r="65" spans="6:7" ht="6" customHeight="1">
      <c r="F65" s="10"/>
      <c r="G65" s="10"/>
    </row>
  </sheetData>
  <sheetProtection password="8C69" sheet="1" scenarios="1"/>
  <phoneticPr fontId="28" type="noConversion"/>
  <pageMargins left="0.59055118110236227" right="0.39370078740157483" top="0.39370078740157483" bottom="0.32" header="0.11811023622047245" footer="0.11811023622047245"/>
  <pageSetup paperSize="9" scale="84" orientation="portrait" r:id="rId1"/>
  <headerFooter alignWithMargins="0">
    <oddFooter>&amp;C&amp;9&amp;F&amp;L&amp;"Arial,Fett"&amp;11AGRIDEA &amp;"Arial,Standard"&amp;9Impex, Version 2.6&amp;R&amp;"Arial,Standard"&amp;9&amp;D / Seite &amp;P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B1:I65"/>
  <sheetViews>
    <sheetView showGridLines="0" showRowColHeaders="0" showZeros="0" workbookViewId="0">
      <selection activeCell="B14" sqref="B14"/>
    </sheetView>
  </sheetViews>
  <sheetFormatPr baseColWidth="10" defaultColWidth="11.42578125" defaultRowHeight="12.75"/>
  <cols>
    <col min="1" max="1" width="1.42578125" style="1" customWidth="1"/>
    <col min="2" max="9" width="12.5703125" style="1" customWidth="1"/>
    <col min="10" max="10" width="1.42578125" style="1" customWidth="1"/>
    <col min="11" max="16384" width="11.42578125" style="1"/>
  </cols>
  <sheetData>
    <row r="1" spans="2:9" ht="43.7" customHeight="1">
      <c r="D1" s="186" t="str">
        <f>+A2a!D1</f>
        <v>Impex:   Mastpoulets</v>
      </c>
      <c r="I1" s="187" t="str">
        <f>"B2: "&amp;Textes!A100</f>
        <v>B2: Mischfutterzufuhr</v>
      </c>
    </row>
    <row r="2" spans="2:9" ht="15">
      <c r="B2" s="679" t="str">
        <f>Inv!C4&amp;IF(Inv!D4=0,"",Inv!D4)</f>
        <v xml:space="preserve">Betriebs-Nr:    </v>
      </c>
      <c r="C2" s="191"/>
      <c r="D2" s="680"/>
      <c r="E2" s="681"/>
      <c r="F2" s="682" t="str">
        <f>Inv!C5&amp;IF(Inv!D5=0,"",Inv!D6&amp;" "&amp;Inv!D5)</f>
        <v xml:space="preserve">Name:    </v>
      </c>
      <c r="H2" s="110"/>
    </row>
    <row r="4" spans="2:9" ht="14.25">
      <c r="B4" s="222" t="str">
        <f>+'B1'!B4</f>
        <v>Futterlieferant</v>
      </c>
      <c r="C4" s="223"/>
      <c r="D4" s="222" t="str">
        <f>+B4</f>
        <v>Futterlieferant</v>
      </c>
      <c r="E4" s="223"/>
      <c r="F4" s="222" t="str">
        <f>+D4</f>
        <v>Futterlieferant</v>
      </c>
      <c r="G4" s="223"/>
      <c r="H4" s="222" t="str">
        <f>+F4</f>
        <v>Futterlieferant</v>
      </c>
      <c r="I4" s="223"/>
    </row>
    <row r="5" spans="2:9" s="7" customFormat="1" ht="18">
      <c r="B5" s="226"/>
      <c r="C5" s="198"/>
      <c r="D5" s="226"/>
      <c r="E5" s="198"/>
      <c r="F5" s="226"/>
      <c r="G5" s="198"/>
      <c r="H5" s="226"/>
      <c r="I5" s="198"/>
    </row>
    <row r="6" spans="2:9" s="6" customFormat="1" ht="15">
      <c r="B6" s="232" t="str">
        <f>IF(Inv!B32=0,"",Inv!B32)</f>
        <v/>
      </c>
      <c r="C6" s="195"/>
      <c r="D6" s="232" t="str">
        <f>IF(Inv!B33=0,"",Inv!B33)</f>
        <v/>
      </c>
      <c r="E6" s="195"/>
      <c r="F6" s="232" t="str">
        <f>IF(Inv!B34=0,"",Inv!B34)</f>
        <v/>
      </c>
      <c r="G6" s="195"/>
      <c r="H6" s="232" t="str">
        <f>IF(Inv!B35=0,"",Inv!B35)</f>
        <v/>
      </c>
      <c r="I6" s="195"/>
    </row>
    <row r="7" spans="2:9" s="42" customFormat="1" ht="15">
      <c r="B7" s="112" t="str">
        <f>+Inv!F26</f>
        <v>TS in %</v>
      </c>
      <c r="C7" s="113" t="str">
        <f>IF(Inv!F32=0,"",Inv!F32)</f>
        <v/>
      </c>
      <c r="D7" s="112" t="str">
        <f>+B7</f>
        <v>TS in %</v>
      </c>
      <c r="E7" s="114" t="str">
        <f>IF(Inv!F33=0,"",Inv!F33)</f>
        <v/>
      </c>
      <c r="F7" s="112" t="str">
        <f>+D7</f>
        <v>TS in %</v>
      </c>
      <c r="G7" s="114" t="str">
        <f>IF(Inv!F34=0,"",Inv!F34)</f>
        <v/>
      </c>
      <c r="H7" s="112" t="str">
        <f>+F7</f>
        <v>TS in %</v>
      </c>
      <c r="I7" s="114" t="str">
        <f>IF(Inv!F35=0,"",Inv!F35)</f>
        <v/>
      </c>
    </row>
    <row r="8" spans="2:9" s="42" customFormat="1" ht="15">
      <c r="B8" s="196" t="str">
        <f>+'B1'!B8</f>
        <v>pro kg Futter</v>
      </c>
      <c r="C8" s="197"/>
      <c r="D8" s="196" t="str">
        <f>+B8</f>
        <v>pro kg Futter</v>
      </c>
      <c r="E8" s="197"/>
      <c r="F8" s="196" t="str">
        <f>+D8</f>
        <v>pro kg Futter</v>
      </c>
      <c r="G8" s="197"/>
      <c r="H8" s="196" t="str">
        <f>+F8</f>
        <v>pro kg Futter</v>
      </c>
      <c r="I8" s="197"/>
    </row>
    <row r="9" spans="2:9" ht="14.25">
      <c r="B9" s="115" t="str">
        <f>'B1'!B9</f>
        <v>MJ UEG</v>
      </c>
      <c r="C9" s="116" t="str">
        <f>IF(Inv!G32=0,"",Inv!G32)</f>
        <v/>
      </c>
      <c r="D9" s="115" t="str">
        <f>'B1'!B9</f>
        <v>MJ UEG</v>
      </c>
      <c r="E9" s="116" t="str">
        <f>IF(Inv!G33=0,"",Inv!G33)</f>
        <v/>
      </c>
      <c r="F9" s="115" t="str">
        <f>'B1'!B9</f>
        <v>MJ UEG</v>
      </c>
      <c r="G9" s="116" t="str">
        <f>IF(Inv!G34=0,"",Inv!G34)</f>
        <v/>
      </c>
      <c r="H9" s="115" t="str">
        <f>'B1'!B9</f>
        <v>MJ UEG</v>
      </c>
      <c r="I9" s="116" t="str">
        <f>IF(Inv!G35=0,"",Inv!G35)</f>
        <v/>
      </c>
    </row>
    <row r="10" spans="2:9" s="8" customFormat="1" ht="14.25">
      <c r="B10" s="115" t="str">
        <f>'B1'!B10</f>
        <v>g RP</v>
      </c>
      <c r="C10" s="111" t="str">
        <f>IF(Inv!H32=0,"",Inv!H32)</f>
        <v/>
      </c>
      <c r="D10" s="115" t="str">
        <f>'B1'!B10</f>
        <v>g RP</v>
      </c>
      <c r="E10" s="111" t="str">
        <f>IF(Inv!H33=0,"",Inv!H33)</f>
        <v/>
      </c>
      <c r="F10" s="115" t="str">
        <f>'B1'!B10</f>
        <v>g RP</v>
      </c>
      <c r="G10" s="111" t="str">
        <f>IF(Inv!H34=0,"",Inv!H34)</f>
        <v/>
      </c>
      <c r="H10" s="115" t="str">
        <f>'B1'!B10</f>
        <v>g RP</v>
      </c>
      <c r="I10" s="111" t="str">
        <f>IF(Inv!H35=0,"",Inv!H35)</f>
        <v/>
      </c>
    </row>
    <row r="11" spans="2:9" s="8" customFormat="1" ht="14.25">
      <c r="B11" s="117" t="str">
        <f>'B1'!B11</f>
        <v>g P</v>
      </c>
      <c r="C11" s="61" t="str">
        <f>IF(Inv!I32=0,"",Inv!I32)</f>
        <v/>
      </c>
      <c r="D11" s="117" t="str">
        <f>'B1'!B11</f>
        <v>g P</v>
      </c>
      <c r="E11" s="61" t="str">
        <f>IF(Inv!I33=0,"",Inv!I33)</f>
        <v/>
      </c>
      <c r="F11" s="117" t="str">
        <f>'B1'!B11</f>
        <v>g P</v>
      </c>
      <c r="G11" s="61" t="str">
        <f>IF(Inv!I34=0,"",Inv!I34)</f>
        <v/>
      </c>
      <c r="H11" s="117" t="str">
        <f>'B1'!B11</f>
        <v>g P</v>
      </c>
      <c r="I11" s="61" t="str">
        <f>IF(Inv!I35=0,"",Inv!I35)</f>
        <v/>
      </c>
    </row>
    <row r="12" spans="2:9" ht="14.25">
      <c r="B12" s="48" t="str">
        <f>+'B1'!B12</f>
        <v>Datum</v>
      </c>
      <c r="C12" s="49" t="str">
        <f>+'B1'!C12</f>
        <v>kg Futter</v>
      </c>
      <c r="D12" s="48" t="str">
        <f t="shared" ref="D12:I12" si="0">+B12</f>
        <v>Datum</v>
      </c>
      <c r="E12" s="49" t="str">
        <f t="shared" si="0"/>
        <v>kg Futter</v>
      </c>
      <c r="F12" s="48" t="str">
        <f t="shared" si="0"/>
        <v>Datum</v>
      </c>
      <c r="G12" s="49" t="str">
        <f t="shared" si="0"/>
        <v>kg Futter</v>
      </c>
      <c r="H12" s="48" t="str">
        <f t="shared" si="0"/>
        <v>Datum</v>
      </c>
      <c r="I12" s="49" t="str">
        <f t="shared" si="0"/>
        <v>kg Futter</v>
      </c>
    </row>
    <row r="13" spans="2:9" s="8" customFormat="1" ht="15" hidden="1" customHeight="1">
      <c r="B13" s="269"/>
      <c r="C13" s="266"/>
      <c r="D13" s="269"/>
      <c r="E13" s="266"/>
      <c r="F13" s="269"/>
      <c r="G13" s="266"/>
      <c r="H13" s="269"/>
      <c r="I13" s="266"/>
    </row>
    <row r="14" spans="2:9" s="8" customFormat="1" ht="15" customHeight="1">
      <c r="B14" s="269"/>
      <c r="C14" s="266"/>
      <c r="D14" s="269"/>
      <c r="E14" s="266"/>
      <c r="F14" s="269"/>
      <c r="G14" s="266"/>
      <c r="H14" s="269"/>
      <c r="I14" s="266"/>
    </row>
    <row r="15" spans="2:9" s="8" customFormat="1" ht="15" customHeight="1">
      <c r="B15" s="269"/>
      <c r="C15" s="266"/>
      <c r="D15" s="269"/>
      <c r="E15" s="266"/>
      <c r="F15" s="269"/>
      <c r="G15" s="266"/>
      <c r="H15" s="269"/>
      <c r="I15" s="266"/>
    </row>
    <row r="16" spans="2:9" s="8" customFormat="1" ht="15" customHeight="1">
      <c r="B16" s="269"/>
      <c r="C16" s="266"/>
      <c r="D16" s="269"/>
      <c r="E16" s="266"/>
      <c r="F16" s="269"/>
      <c r="G16" s="266"/>
      <c r="H16" s="269"/>
      <c r="I16" s="266"/>
    </row>
    <row r="17" spans="2:9" s="8" customFormat="1" ht="15" customHeight="1">
      <c r="B17" s="269"/>
      <c r="C17" s="266"/>
      <c r="D17" s="269"/>
      <c r="E17" s="266"/>
      <c r="F17" s="269"/>
      <c r="G17" s="266"/>
      <c r="H17" s="269"/>
      <c r="I17" s="266"/>
    </row>
    <row r="18" spans="2:9" s="8" customFormat="1" ht="15" customHeight="1">
      <c r="B18" s="269"/>
      <c r="C18" s="266"/>
      <c r="D18" s="269"/>
      <c r="E18" s="266"/>
      <c r="F18" s="269"/>
      <c r="G18" s="266"/>
      <c r="H18" s="269"/>
      <c r="I18" s="266"/>
    </row>
    <row r="19" spans="2:9" s="8" customFormat="1" ht="15" customHeight="1">
      <c r="B19" s="269"/>
      <c r="C19" s="266"/>
      <c r="D19" s="269"/>
      <c r="E19" s="266"/>
      <c r="F19" s="269"/>
      <c r="G19" s="266"/>
      <c r="H19" s="269"/>
      <c r="I19" s="266"/>
    </row>
    <row r="20" spans="2:9" s="8" customFormat="1" ht="15" customHeight="1">
      <c r="B20" s="269"/>
      <c r="C20" s="266"/>
      <c r="D20" s="269"/>
      <c r="E20" s="266"/>
      <c r="F20" s="269"/>
      <c r="G20" s="266"/>
      <c r="H20" s="269"/>
      <c r="I20" s="266"/>
    </row>
    <row r="21" spans="2:9" s="8" customFormat="1" ht="15" customHeight="1">
      <c r="B21" s="269"/>
      <c r="C21" s="266"/>
      <c r="D21" s="269"/>
      <c r="E21" s="266"/>
      <c r="F21" s="269"/>
      <c r="G21" s="266"/>
      <c r="H21" s="269"/>
      <c r="I21" s="266"/>
    </row>
    <row r="22" spans="2:9" s="8" customFormat="1" ht="15" customHeight="1">
      <c r="B22" s="269"/>
      <c r="C22" s="266"/>
      <c r="D22" s="269"/>
      <c r="E22" s="266"/>
      <c r="F22" s="269"/>
      <c r="G22" s="266"/>
      <c r="H22" s="269"/>
      <c r="I22" s="266"/>
    </row>
    <row r="23" spans="2:9" s="8" customFormat="1" ht="15" customHeight="1">
      <c r="B23" s="269"/>
      <c r="C23" s="266"/>
      <c r="D23" s="269"/>
      <c r="E23" s="266"/>
      <c r="F23" s="269"/>
      <c r="G23" s="266"/>
      <c r="H23" s="269"/>
      <c r="I23" s="266"/>
    </row>
    <row r="24" spans="2:9" s="8" customFormat="1" ht="15" customHeight="1">
      <c r="B24" s="269"/>
      <c r="C24" s="266"/>
      <c r="D24" s="269"/>
      <c r="E24" s="266"/>
      <c r="F24" s="269"/>
      <c r="G24" s="266"/>
      <c r="H24" s="269"/>
      <c r="I24" s="266"/>
    </row>
    <row r="25" spans="2:9" s="8" customFormat="1" ht="15" customHeight="1">
      <c r="B25" s="269"/>
      <c r="C25" s="266"/>
      <c r="D25" s="269"/>
      <c r="E25" s="266"/>
      <c r="F25" s="269"/>
      <c r="G25" s="266"/>
      <c r="H25" s="269"/>
      <c r="I25" s="266"/>
    </row>
    <row r="26" spans="2:9" s="8" customFormat="1" ht="15" customHeight="1">
      <c r="B26" s="269"/>
      <c r="C26" s="266"/>
      <c r="D26" s="269"/>
      <c r="E26" s="266"/>
      <c r="F26" s="269"/>
      <c r="G26" s="266"/>
      <c r="H26" s="269"/>
      <c r="I26" s="266"/>
    </row>
    <row r="27" spans="2:9" s="8" customFormat="1" ht="15" customHeight="1">
      <c r="B27" s="269"/>
      <c r="C27" s="266"/>
      <c r="D27" s="269"/>
      <c r="E27" s="266"/>
      <c r="F27" s="269"/>
      <c r="G27" s="266"/>
      <c r="H27" s="269"/>
      <c r="I27" s="266"/>
    </row>
    <row r="28" spans="2:9" s="8" customFormat="1" ht="15" customHeight="1">
      <c r="B28" s="269"/>
      <c r="C28" s="266"/>
      <c r="D28" s="269"/>
      <c r="E28" s="266"/>
      <c r="F28" s="269"/>
      <c r="G28" s="266"/>
      <c r="H28" s="269"/>
      <c r="I28" s="266"/>
    </row>
    <row r="29" spans="2:9" s="8" customFormat="1" ht="15" customHeight="1">
      <c r="B29" s="269"/>
      <c r="C29" s="266"/>
      <c r="D29" s="269"/>
      <c r="E29" s="266"/>
      <c r="F29" s="269"/>
      <c r="G29" s="266"/>
      <c r="H29" s="269"/>
      <c r="I29" s="266"/>
    </row>
    <row r="30" spans="2:9" s="8" customFormat="1" ht="15" customHeight="1">
      <c r="B30" s="269"/>
      <c r="C30" s="266"/>
      <c r="D30" s="269"/>
      <c r="E30" s="266"/>
      <c r="F30" s="269"/>
      <c r="G30" s="266"/>
      <c r="H30" s="269"/>
      <c r="I30" s="266"/>
    </row>
    <row r="31" spans="2:9" s="8" customFormat="1" ht="15" customHeight="1">
      <c r="B31" s="269"/>
      <c r="C31" s="266"/>
      <c r="D31" s="269"/>
      <c r="E31" s="266"/>
      <c r="F31" s="269"/>
      <c r="G31" s="266"/>
      <c r="H31" s="269"/>
      <c r="I31" s="266"/>
    </row>
    <row r="32" spans="2:9" s="8" customFormat="1" ht="15" customHeight="1">
      <c r="B32" s="269"/>
      <c r="C32" s="266"/>
      <c r="D32" s="269"/>
      <c r="E32" s="266"/>
      <c r="F32" s="269"/>
      <c r="G32" s="266"/>
      <c r="H32" s="269"/>
      <c r="I32" s="266"/>
    </row>
    <row r="33" spans="2:9" s="8" customFormat="1" ht="15" customHeight="1">
      <c r="B33" s="269"/>
      <c r="C33" s="266"/>
      <c r="D33" s="269"/>
      <c r="E33" s="266"/>
      <c r="F33" s="269"/>
      <c r="G33" s="266"/>
      <c r="H33" s="269"/>
      <c r="I33" s="266"/>
    </row>
    <row r="34" spans="2:9" s="8" customFormat="1" ht="15" customHeight="1">
      <c r="B34" s="269"/>
      <c r="C34" s="266"/>
      <c r="D34" s="269"/>
      <c r="E34" s="266"/>
      <c r="F34" s="269"/>
      <c r="G34" s="266"/>
      <c r="H34" s="269"/>
      <c r="I34" s="266"/>
    </row>
    <row r="35" spans="2:9" s="8" customFormat="1" ht="15" customHeight="1">
      <c r="B35" s="269"/>
      <c r="C35" s="266"/>
      <c r="D35" s="269"/>
      <c r="E35" s="266"/>
      <c r="F35" s="269"/>
      <c r="G35" s="266"/>
      <c r="H35" s="269"/>
      <c r="I35" s="266"/>
    </row>
    <row r="36" spans="2:9" s="8" customFormat="1" ht="15" customHeight="1">
      <c r="B36" s="269"/>
      <c r="C36" s="266"/>
      <c r="D36" s="269"/>
      <c r="E36" s="266"/>
      <c r="F36" s="269"/>
      <c r="G36" s="266"/>
      <c r="H36" s="269"/>
      <c r="I36" s="266"/>
    </row>
    <row r="37" spans="2:9" s="8" customFormat="1" ht="15" customHeight="1">
      <c r="B37" s="269"/>
      <c r="C37" s="266"/>
      <c r="D37" s="269"/>
      <c r="E37" s="266"/>
      <c r="F37" s="269"/>
      <c r="G37" s="266"/>
      <c r="H37" s="269"/>
      <c r="I37" s="266"/>
    </row>
    <row r="38" spans="2:9" s="8" customFormat="1" ht="15" customHeight="1">
      <c r="B38" s="269"/>
      <c r="C38" s="266"/>
      <c r="D38" s="269"/>
      <c r="E38" s="266"/>
      <c r="F38" s="269"/>
      <c r="G38" s="266"/>
      <c r="H38" s="269"/>
      <c r="I38" s="266"/>
    </row>
    <row r="39" spans="2:9" s="8" customFormat="1" ht="15" customHeight="1">
      <c r="B39" s="269"/>
      <c r="C39" s="266"/>
      <c r="D39" s="269"/>
      <c r="E39" s="266"/>
      <c r="F39" s="269"/>
      <c r="G39" s="266"/>
      <c r="H39" s="269"/>
      <c r="I39" s="266"/>
    </row>
    <row r="40" spans="2:9" s="8" customFormat="1" ht="15" customHeight="1">
      <c r="B40" s="269"/>
      <c r="C40" s="266"/>
      <c r="D40" s="269"/>
      <c r="E40" s="266"/>
      <c r="F40" s="269"/>
      <c r="G40" s="266"/>
      <c r="H40" s="269"/>
      <c r="I40" s="266"/>
    </row>
    <row r="41" spans="2:9" s="8" customFormat="1" ht="15" customHeight="1">
      <c r="B41" s="269"/>
      <c r="C41" s="266"/>
      <c r="D41" s="269"/>
      <c r="E41" s="266"/>
      <c r="F41" s="269"/>
      <c r="G41" s="266"/>
      <c r="H41" s="269"/>
      <c r="I41" s="266"/>
    </row>
    <row r="42" spans="2:9" s="8" customFormat="1" ht="15" customHeight="1">
      <c r="B42" s="269"/>
      <c r="C42" s="266"/>
      <c r="D42" s="269"/>
      <c r="E42" s="266"/>
      <c r="F42" s="269"/>
      <c r="G42" s="266"/>
      <c r="H42" s="269"/>
      <c r="I42" s="266"/>
    </row>
    <row r="43" spans="2:9" s="8" customFormat="1" ht="15" customHeight="1">
      <c r="B43" s="269"/>
      <c r="C43" s="266"/>
      <c r="D43" s="269"/>
      <c r="E43" s="266"/>
      <c r="F43" s="269"/>
      <c r="G43" s="266"/>
      <c r="H43" s="269"/>
      <c r="I43" s="266"/>
    </row>
    <row r="44" spans="2:9" s="8" customFormat="1" ht="15" customHeight="1">
      <c r="B44" s="269"/>
      <c r="C44" s="266"/>
      <c r="D44" s="269"/>
      <c r="E44" s="266"/>
      <c r="F44" s="269"/>
      <c r="G44" s="266"/>
      <c r="H44" s="269"/>
      <c r="I44" s="266"/>
    </row>
    <row r="45" spans="2:9" s="8" customFormat="1" ht="15" customHeight="1">
      <c r="B45" s="269"/>
      <c r="C45" s="266"/>
      <c r="D45" s="269"/>
      <c r="E45" s="266"/>
      <c r="F45" s="269"/>
      <c r="G45" s="266"/>
      <c r="H45" s="269"/>
      <c r="I45" s="266"/>
    </row>
    <row r="46" spans="2:9" s="8" customFormat="1" ht="15" customHeight="1">
      <c r="B46" s="269"/>
      <c r="C46" s="266"/>
      <c r="D46" s="269"/>
      <c r="E46" s="266"/>
      <c r="F46" s="269"/>
      <c r="G46" s="266"/>
      <c r="H46" s="269"/>
      <c r="I46" s="266"/>
    </row>
    <row r="47" spans="2:9" s="8" customFormat="1" ht="15" customHeight="1">
      <c r="B47" s="269"/>
      <c r="C47" s="266"/>
      <c r="D47" s="269"/>
      <c r="E47" s="266"/>
      <c r="F47" s="269"/>
      <c r="G47" s="266"/>
      <c r="H47" s="269"/>
      <c r="I47" s="266"/>
    </row>
    <row r="48" spans="2:9" s="8" customFormat="1" ht="15" customHeight="1">
      <c r="B48" s="269"/>
      <c r="C48" s="266"/>
      <c r="D48" s="269"/>
      <c r="E48" s="266"/>
      <c r="F48" s="269"/>
      <c r="G48" s="266"/>
      <c r="H48" s="269"/>
      <c r="I48" s="266"/>
    </row>
    <row r="49" spans="2:9" s="8" customFormat="1" ht="15" customHeight="1">
      <c r="B49" s="269"/>
      <c r="C49" s="266"/>
      <c r="D49" s="269"/>
      <c r="E49" s="266"/>
      <c r="F49" s="269"/>
      <c r="G49" s="266"/>
      <c r="H49" s="269"/>
      <c r="I49" s="266"/>
    </row>
    <row r="50" spans="2:9" s="8" customFormat="1" ht="15" customHeight="1">
      <c r="B50" s="269"/>
      <c r="C50" s="266"/>
      <c r="D50" s="269"/>
      <c r="E50" s="266"/>
      <c r="F50" s="269"/>
      <c r="G50" s="266"/>
      <c r="H50" s="269"/>
      <c r="I50" s="266"/>
    </row>
    <row r="51" spans="2:9" s="8" customFormat="1" ht="15" customHeight="1">
      <c r="B51" s="269"/>
      <c r="C51" s="266"/>
      <c r="D51" s="269"/>
      <c r="E51" s="266"/>
      <c r="F51" s="269"/>
      <c r="G51" s="266"/>
      <c r="H51" s="269"/>
      <c r="I51" s="266"/>
    </row>
    <row r="52" spans="2:9" s="8" customFormat="1" ht="15" customHeight="1">
      <c r="B52" s="269"/>
      <c r="C52" s="266"/>
      <c r="D52" s="269"/>
      <c r="E52" s="266"/>
      <c r="F52" s="269"/>
      <c r="G52" s="266"/>
      <c r="H52" s="269"/>
      <c r="I52" s="266"/>
    </row>
    <row r="53" spans="2:9" s="8" customFormat="1" ht="15" customHeight="1">
      <c r="B53" s="269"/>
      <c r="C53" s="266"/>
      <c r="D53" s="269"/>
      <c r="E53" s="266"/>
      <c r="F53" s="269"/>
      <c r="G53" s="266"/>
      <c r="H53" s="269"/>
      <c r="I53" s="266"/>
    </row>
    <row r="54" spans="2:9" s="8" customFormat="1" ht="15" customHeight="1">
      <c r="B54" s="269"/>
      <c r="C54" s="266"/>
      <c r="D54" s="269"/>
      <c r="E54" s="266"/>
      <c r="F54" s="269"/>
      <c r="G54" s="266"/>
      <c r="H54" s="269"/>
      <c r="I54" s="266"/>
    </row>
    <row r="55" spans="2:9" s="8" customFormat="1" ht="15" customHeight="1">
      <c r="B55" s="269"/>
      <c r="C55" s="266"/>
      <c r="D55" s="269"/>
      <c r="E55" s="266"/>
      <c r="F55" s="269"/>
      <c r="G55" s="266"/>
      <c r="H55" s="269"/>
      <c r="I55" s="266"/>
    </row>
    <row r="56" spans="2:9" s="8" customFormat="1" ht="15" customHeight="1">
      <c r="B56" s="269"/>
      <c r="C56" s="266"/>
      <c r="D56" s="269"/>
      <c r="E56" s="266"/>
      <c r="F56" s="269"/>
      <c r="G56" s="266"/>
      <c r="H56" s="269"/>
      <c r="I56" s="266"/>
    </row>
    <row r="57" spans="2:9" s="8" customFormat="1" ht="15" customHeight="1">
      <c r="B57" s="269"/>
      <c r="C57" s="266"/>
      <c r="D57" s="269"/>
      <c r="E57" s="266"/>
      <c r="F57" s="269"/>
      <c r="G57" s="266"/>
      <c r="H57" s="269"/>
      <c r="I57" s="266"/>
    </row>
    <row r="58" spans="2:9" s="8" customFormat="1" ht="14.25">
      <c r="B58" s="27" t="str">
        <f>+'B1'!B58</f>
        <v>Total Zufuhr</v>
      </c>
      <c r="C58" s="271">
        <f>IF(SUM(C13:C57)=0,0,SUM(C13:C57))</f>
        <v>0</v>
      </c>
      <c r="D58" s="27" t="str">
        <f>+B58</f>
        <v>Total Zufuhr</v>
      </c>
      <c r="E58" s="273">
        <f>IF(SUM(E13:E57)=0,0,SUM(E13:E57))</f>
        <v>0</v>
      </c>
      <c r="F58" s="27" t="str">
        <f>+D58</f>
        <v>Total Zufuhr</v>
      </c>
      <c r="G58" s="271">
        <f>IF(SUM(G13:G57)=0,0,SUM(G13:G57))</f>
        <v>0</v>
      </c>
      <c r="H58" s="27" t="str">
        <f>+F58</f>
        <v>Total Zufuhr</v>
      </c>
      <c r="I58" s="271">
        <f>IF(SUM(I13:I57)=0,0,SUM(I13:I57))</f>
        <v>0</v>
      </c>
    </row>
    <row r="59" spans="2:9" s="3" customFormat="1" ht="6" customHeight="1"/>
    <row r="60" spans="2:9" ht="18" customHeight="1">
      <c r="B60" s="6" t="str">
        <f>+'B1'!B60</f>
        <v>Es müssen alle eingesetzten Futtermittel erfasst werden.</v>
      </c>
    </row>
    <row r="61" spans="2:9" s="3" customFormat="1" ht="4.5" customHeight="1">
      <c r="E61" s="5"/>
    </row>
    <row r="62" spans="2:9" ht="21" customHeight="1">
      <c r="B62" s="29" t="str">
        <f>+Inv!B80</f>
        <v>Kantonale Kontrollstelle, Datum:</v>
      </c>
      <c r="C62" s="30"/>
      <c r="D62" s="30"/>
      <c r="E62" s="30"/>
      <c r="F62" s="30" t="str">
        <f>+Inv!H80</f>
        <v>Unterschrift:</v>
      </c>
      <c r="G62" s="30"/>
      <c r="H62" s="30"/>
      <c r="I62" s="31"/>
    </row>
    <row r="63" spans="2:9" ht="4.5" customHeight="1"/>
    <row r="64" spans="2:9" ht="21" customHeight="1">
      <c r="B64" s="29" t="str">
        <f>+Inv!B82</f>
        <v>Betriebsleiter, Datum:</v>
      </c>
      <c r="C64" s="30"/>
      <c r="D64" s="30"/>
      <c r="E64" s="30"/>
      <c r="F64" s="30" t="str">
        <f>+Inv!H82</f>
        <v>Unterschrift:</v>
      </c>
      <c r="G64" s="30"/>
      <c r="H64" s="30"/>
      <c r="I64" s="31"/>
    </row>
    <row r="65" spans="6:7" ht="6" customHeight="1">
      <c r="F65" s="10"/>
      <c r="G65" s="10"/>
    </row>
  </sheetData>
  <sheetProtection password="8C69" sheet="1" scenarios="1"/>
  <phoneticPr fontId="28" type="noConversion"/>
  <pageMargins left="0.59055118110236227" right="0.39370078740157483" top="0.39370078740157483" bottom="0.32" header="0.11811023622047245" footer="0.11811023622047245"/>
  <pageSetup paperSize="9" scale="83" orientation="portrait" r:id="rId1"/>
  <headerFooter alignWithMargins="0">
    <oddFooter>&amp;C&amp;9&amp;F&amp;L&amp;"Arial,Fett"&amp;11AGRIDEA &amp;"Arial,Standard"&amp;9Impex, Version 2.6&amp;R&amp;"Arial,Standard"&amp;9&amp;D / Seite &amp;P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B1:I65"/>
  <sheetViews>
    <sheetView showGridLines="0" showRowColHeaders="0" showZeros="0" workbookViewId="0">
      <selection activeCell="B14" sqref="B14"/>
    </sheetView>
  </sheetViews>
  <sheetFormatPr baseColWidth="10" defaultColWidth="11.42578125" defaultRowHeight="12.75"/>
  <cols>
    <col min="1" max="1" width="1.42578125" style="1" customWidth="1"/>
    <col min="2" max="9" width="12.5703125" style="1" customWidth="1"/>
    <col min="10" max="10" width="1.42578125" style="1" customWidth="1"/>
    <col min="11" max="16384" width="11.42578125" style="1"/>
  </cols>
  <sheetData>
    <row r="1" spans="2:9" ht="43.7" customHeight="1">
      <c r="D1" s="186" t="str">
        <f>+A2a!D1</f>
        <v>Impex:   Mastpoulets</v>
      </c>
      <c r="I1" s="187" t="str">
        <f>"B3: "&amp;Textes!A100</f>
        <v>B3: Mischfutterzufuhr</v>
      </c>
    </row>
    <row r="2" spans="2:9" ht="15">
      <c r="B2" s="679" t="str">
        <f>Inv!C4&amp;IF(Inv!D4=0,"",Inv!D4)</f>
        <v xml:space="preserve">Betriebs-Nr:    </v>
      </c>
      <c r="C2" s="191"/>
      <c r="D2" s="680"/>
      <c r="E2" s="681"/>
      <c r="F2" s="682" t="str">
        <f>Inv!C5&amp;IF(Inv!D5=0,"",Inv!D6&amp;" "&amp;Inv!D5)</f>
        <v xml:space="preserve">Name:    </v>
      </c>
      <c r="H2" s="110"/>
    </row>
    <row r="3" spans="2:9" s="6" customFormat="1">
      <c r="B3" s="1"/>
      <c r="C3" s="1"/>
      <c r="D3" s="1"/>
      <c r="E3" s="1"/>
      <c r="F3" s="1"/>
      <c r="G3" s="1"/>
      <c r="H3" s="1"/>
      <c r="I3" s="1"/>
    </row>
    <row r="4" spans="2:9" ht="14.25">
      <c r="B4" s="222" t="str">
        <f>+'B2'!B4</f>
        <v>Futterlieferant</v>
      </c>
      <c r="C4" s="223"/>
      <c r="D4" s="222" t="str">
        <f>+B4</f>
        <v>Futterlieferant</v>
      </c>
      <c r="E4" s="223"/>
      <c r="F4" s="222" t="str">
        <f>+D4</f>
        <v>Futterlieferant</v>
      </c>
      <c r="G4" s="223"/>
      <c r="H4" s="222" t="str">
        <f>+F4</f>
        <v>Futterlieferant</v>
      </c>
      <c r="I4" s="223"/>
    </row>
    <row r="5" spans="2:9" s="7" customFormat="1" ht="18">
      <c r="B5" s="226"/>
      <c r="C5" s="198"/>
      <c r="D5" s="226"/>
      <c r="E5" s="198"/>
      <c r="F5" s="226"/>
      <c r="G5" s="198"/>
      <c r="H5" s="226"/>
      <c r="I5" s="198"/>
    </row>
    <row r="6" spans="2:9" s="6" customFormat="1" ht="15">
      <c r="B6" s="232" t="str">
        <f>IF(Inv!B36=0,"",Inv!B36)</f>
        <v/>
      </c>
      <c r="C6" s="195"/>
      <c r="D6" s="232" t="str">
        <f>IF(Inv!B37=0,"",Inv!B37)</f>
        <v/>
      </c>
      <c r="E6" s="195"/>
      <c r="F6" s="232" t="str">
        <f>IF(Inv!B38=0,"",Inv!B38)</f>
        <v/>
      </c>
      <c r="G6" s="195"/>
      <c r="H6" s="232" t="str">
        <f>IF(Inv!B39=0,"",Inv!B39)</f>
        <v/>
      </c>
      <c r="I6" s="195"/>
    </row>
    <row r="7" spans="2:9" s="42" customFormat="1" ht="15">
      <c r="B7" s="112" t="str">
        <f>+'B2'!B7</f>
        <v>TS in %</v>
      </c>
      <c r="C7" s="113" t="str">
        <f>IF(Inv!F36=0,"",Inv!F36)</f>
        <v/>
      </c>
      <c r="D7" s="112" t="str">
        <f>+B7</f>
        <v>TS in %</v>
      </c>
      <c r="E7" s="114" t="str">
        <f>IF(Inv!F37=0,"",Inv!F37)</f>
        <v/>
      </c>
      <c r="F7" s="112" t="str">
        <f>+B7</f>
        <v>TS in %</v>
      </c>
      <c r="G7" s="114" t="str">
        <f>IF(Inv!F38=0,"",Inv!F38)</f>
        <v/>
      </c>
      <c r="H7" s="112" t="str">
        <f>+B7</f>
        <v>TS in %</v>
      </c>
      <c r="I7" s="114" t="str">
        <f>IF(Inv!F39=0,"",Inv!F39)</f>
        <v/>
      </c>
    </row>
    <row r="8" spans="2:9" s="42" customFormat="1" ht="15">
      <c r="B8" s="196" t="str">
        <f>+'B2'!B8</f>
        <v>pro kg Futter</v>
      </c>
      <c r="C8" s="197"/>
      <c r="D8" s="196" t="str">
        <f>+B8</f>
        <v>pro kg Futter</v>
      </c>
      <c r="E8" s="197"/>
      <c r="F8" s="196" t="str">
        <f>+D8</f>
        <v>pro kg Futter</v>
      </c>
      <c r="G8" s="197"/>
      <c r="H8" s="196" t="str">
        <f>+F8</f>
        <v>pro kg Futter</v>
      </c>
      <c r="I8" s="197"/>
    </row>
    <row r="9" spans="2:9" ht="14.25">
      <c r="B9" s="115" t="str">
        <f>'B1'!B9</f>
        <v>MJ UEG</v>
      </c>
      <c r="C9" s="116" t="str">
        <f>IF(Inv!G36=0,"",Inv!G36)</f>
        <v/>
      </c>
      <c r="D9" s="115" t="str">
        <f>'B1'!B9</f>
        <v>MJ UEG</v>
      </c>
      <c r="E9" s="116" t="str">
        <f>IF(Inv!G37=0,"",Inv!G37)</f>
        <v/>
      </c>
      <c r="F9" s="115" t="str">
        <f>'B1'!B9</f>
        <v>MJ UEG</v>
      </c>
      <c r="G9" s="116" t="str">
        <f>IF(Inv!G38=0,"",Inv!G38)</f>
        <v/>
      </c>
      <c r="H9" s="115" t="str">
        <f>'B1'!B9</f>
        <v>MJ UEG</v>
      </c>
      <c r="I9" s="116" t="str">
        <f>IF(Inv!G39=0,"",Inv!G39)</f>
        <v/>
      </c>
    </row>
    <row r="10" spans="2:9" s="8" customFormat="1" ht="14.25">
      <c r="B10" s="115" t="str">
        <f>'B1'!B10</f>
        <v>g RP</v>
      </c>
      <c r="C10" s="111" t="str">
        <f>IF(Inv!H36=0,"",Inv!H36)</f>
        <v/>
      </c>
      <c r="D10" s="115" t="str">
        <f>'B1'!B10</f>
        <v>g RP</v>
      </c>
      <c r="E10" s="111" t="str">
        <f>IF(Inv!H37=0,"",Inv!H37)</f>
        <v/>
      </c>
      <c r="F10" s="115" t="str">
        <f>'B1'!B10</f>
        <v>g RP</v>
      </c>
      <c r="G10" s="111" t="str">
        <f>IF(Inv!H38=0,"",Inv!H38)</f>
        <v/>
      </c>
      <c r="H10" s="115" t="str">
        <f>'B1'!B10</f>
        <v>g RP</v>
      </c>
      <c r="I10" s="111" t="str">
        <f>IF(Inv!H39=0,"",Inv!H39)</f>
        <v/>
      </c>
    </row>
    <row r="11" spans="2:9" s="8" customFormat="1" ht="14.25">
      <c r="B11" s="117" t="str">
        <f>'B1'!B11</f>
        <v>g P</v>
      </c>
      <c r="C11" s="61" t="str">
        <f>IF(Inv!I36=0,"",Inv!I36)</f>
        <v/>
      </c>
      <c r="D11" s="117" t="str">
        <f>'B1'!B11</f>
        <v>g P</v>
      </c>
      <c r="E11" s="61" t="str">
        <f>IF(Inv!I37=0,"",Inv!I37)</f>
        <v/>
      </c>
      <c r="F11" s="117" t="str">
        <f>'B1'!B11</f>
        <v>g P</v>
      </c>
      <c r="G11" s="61" t="str">
        <f>IF(Inv!I38=0,"",Inv!I38)</f>
        <v/>
      </c>
      <c r="H11" s="117" t="str">
        <f>'B1'!B11</f>
        <v>g P</v>
      </c>
      <c r="I11" s="61" t="str">
        <f>IF(Inv!I39=0,"",Inv!I39)</f>
        <v/>
      </c>
    </row>
    <row r="12" spans="2:9" ht="14.25">
      <c r="B12" s="48" t="str">
        <f>+'B2'!B12</f>
        <v>Datum</v>
      </c>
      <c r="C12" s="49" t="str">
        <f>+'B2'!C12</f>
        <v>kg Futter</v>
      </c>
      <c r="D12" s="48" t="str">
        <f t="shared" ref="D12:I12" si="0">+B12</f>
        <v>Datum</v>
      </c>
      <c r="E12" s="49" t="str">
        <f t="shared" si="0"/>
        <v>kg Futter</v>
      </c>
      <c r="F12" s="48" t="str">
        <f t="shared" si="0"/>
        <v>Datum</v>
      </c>
      <c r="G12" s="49" t="str">
        <f t="shared" si="0"/>
        <v>kg Futter</v>
      </c>
      <c r="H12" s="48" t="str">
        <f t="shared" si="0"/>
        <v>Datum</v>
      </c>
      <c r="I12" s="49" t="str">
        <f t="shared" si="0"/>
        <v>kg Futter</v>
      </c>
    </row>
    <row r="13" spans="2:9" s="9" customFormat="1" ht="15" hidden="1" customHeight="1">
      <c r="B13" s="269"/>
      <c r="C13" s="266"/>
      <c r="D13" s="284"/>
      <c r="E13" s="266"/>
      <c r="F13" s="284"/>
      <c r="G13" s="266"/>
      <c r="H13" s="284"/>
      <c r="I13" s="266"/>
    </row>
    <row r="14" spans="2:9" s="9" customFormat="1" ht="15" customHeight="1">
      <c r="B14" s="269"/>
      <c r="C14" s="266"/>
      <c r="D14" s="284"/>
      <c r="E14" s="266"/>
      <c r="F14" s="284"/>
      <c r="G14" s="266"/>
      <c r="H14" s="284"/>
      <c r="I14" s="266"/>
    </row>
    <row r="15" spans="2:9" s="9" customFormat="1" ht="15" customHeight="1">
      <c r="B15" s="274"/>
      <c r="C15" s="267"/>
      <c r="D15" s="274"/>
      <c r="E15" s="267"/>
      <c r="F15" s="285"/>
      <c r="G15" s="267"/>
      <c r="H15" s="274"/>
      <c r="I15" s="267"/>
    </row>
    <row r="16" spans="2:9" s="9" customFormat="1" ht="15" customHeight="1">
      <c r="B16" s="269"/>
      <c r="C16" s="266"/>
      <c r="D16" s="269"/>
      <c r="E16" s="266"/>
      <c r="F16" s="269"/>
      <c r="G16" s="266"/>
      <c r="H16" s="269"/>
      <c r="I16" s="266"/>
    </row>
    <row r="17" spans="2:9" s="9" customFormat="1" ht="15" customHeight="1">
      <c r="B17" s="269"/>
      <c r="C17" s="266"/>
      <c r="D17" s="269"/>
      <c r="E17" s="266"/>
      <c r="F17" s="269"/>
      <c r="G17" s="266"/>
      <c r="H17" s="269"/>
      <c r="I17" s="266"/>
    </row>
    <row r="18" spans="2:9" s="9" customFormat="1" ht="15" customHeight="1">
      <c r="B18" s="269"/>
      <c r="C18" s="266"/>
      <c r="D18" s="269"/>
      <c r="E18" s="266"/>
      <c r="F18" s="269"/>
      <c r="G18" s="266"/>
      <c r="H18" s="269"/>
      <c r="I18" s="266"/>
    </row>
    <row r="19" spans="2:9" s="9" customFormat="1" ht="15" customHeight="1">
      <c r="B19" s="269"/>
      <c r="C19" s="266"/>
      <c r="D19" s="269"/>
      <c r="E19" s="266"/>
      <c r="F19" s="269"/>
      <c r="G19" s="266"/>
      <c r="H19" s="269"/>
      <c r="I19" s="266"/>
    </row>
    <row r="20" spans="2:9" s="9" customFormat="1" ht="15" customHeight="1">
      <c r="B20" s="269"/>
      <c r="C20" s="266"/>
      <c r="D20" s="269"/>
      <c r="E20" s="266"/>
      <c r="F20" s="269"/>
      <c r="G20" s="266"/>
      <c r="H20" s="269"/>
      <c r="I20" s="266"/>
    </row>
    <row r="21" spans="2:9" s="9" customFormat="1" ht="15" customHeight="1">
      <c r="B21" s="269"/>
      <c r="C21" s="266"/>
      <c r="D21" s="269"/>
      <c r="E21" s="266"/>
      <c r="F21" s="269"/>
      <c r="G21" s="266"/>
      <c r="H21" s="269"/>
      <c r="I21" s="266"/>
    </row>
    <row r="22" spans="2:9" s="9" customFormat="1" ht="15" customHeight="1">
      <c r="B22" s="269"/>
      <c r="C22" s="266"/>
      <c r="D22" s="269"/>
      <c r="E22" s="266"/>
      <c r="F22" s="269"/>
      <c r="G22" s="266"/>
      <c r="H22" s="269"/>
      <c r="I22" s="266"/>
    </row>
    <row r="23" spans="2:9" s="9" customFormat="1" ht="15" customHeight="1">
      <c r="B23" s="269"/>
      <c r="C23" s="266"/>
      <c r="D23" s="269"/>
      <c r="E23" s="266"/>
      <c r="F23" s="269"/>
      <c r="G23" s="266"/>
      <c r="H23" s="269"/>
      <c r="I23" s="266"/>
    </row>
    <row r="24" spans="2:9" s="9" customFormat="1" ht="15" customHeight="1">
      <c r="B24" s="269"/>
      <c r="C24" s="266"/>
      <c r="D24" s="269"/>
      <c r="E24" s="266"/>
      <c r="F24" s="269"/>
      <c r="G24" s="266"/>
      <c r="H24" s="269"/>
      <c r="I24" s="266"/>
    </row>
    <row r="25" spans="2:9" s="9" customFormat="1" ht="15" customHeight="1">
      <c r="B25" s="269"/>
      <c r="C25" s="266"/>
      <c r="D25" s="269"/>
      <c r="E25" s="266"/>
      <c r="F25" s="269"/>
      <c r="G25" s="266"/>
      <c r="H25" s="269"/>
      <c r="I25" s="266"/>
    </row>
    <row r="26" spans="2:9" s="9" customFormat="1" ht="15" customHeight="1">
      <c r="B26" s="269"/>
      <c r="C26" s="266"/>
      <c r="D26" s="269"/>
      <c r="E26" s="266"/>
      <c r="F26" s="269"/>
      <c r="G26" s="266"/>
      <c r="H26" s="269"/>
      <c r="I26" s="266"/>
    </row>
    <row r="27" spans="2:9" s="9" customFormat="1" ht="15" customHeight="1">
      <c r="B27" s="269"/>
      <c r="C27" s="266"/>
      <c r="D27" s="269"/>
      <c r="E27" s="266"/>
      <c r="F27" s="269"/>
      <c r="G27" s="266"/>
      <c r="H27" s="269"/>
      <c r="I27" s="266"/>
    </row>
    <row r="28" spans="2:9" s="9" customFormat="1" ht="15" customHeight="1">
      <c r="B28" s="269"/>
      <c r="C28" s="266"/>
      <c r="D28" s="269"/>
      <c r="E28" s="266"/>
      <c r="F28" s="269"/>
      <c r="G28" s="266"/>
      <c r="H28" s="269"/>
      <c r="I28" s="266"/>
    </row>
    <row r="29" spans="2:9" s="9" customFormat="1" ht="15" customHeight="1">
      <c r="B29" s="269"/>
      <c r="C29" s="266"/>
      <c r="D29" s="269"/>
      <c r="E29" s="266"/>
      <c r="F29" s="269"/>
      <c r="G29" s="266"/>
      <c r="H29" s="269"/>
      <c r="I29" s="266"/>
    </row>
    <row r="30" spans="2:9" s="9" customFormat="1" ht="15" customHeight="1">
      <c r="B30" s="269"/>
      <c r="C30" s="266"/>
      <c r="D30" s="269"/>
      <c r="E30" s="266"/>
      <c r="F30" s="269"/>
      <c r="G30" s="266"/>
      <c r="H30" s="269"/>
      <c r="I30" s="266"/>
    </row>
    <row r="31" spans="2:9" s="9" customFormat="1" ht="15" customHeight="1">
      <c r="B31" s="269"/>
      <c r="C31" s="266"/>
      <c r="D31" s="269"/>
      <c r="E31" s="266"/>
      <c r="F31" s="269"/>
      <c r="G31" s="266"/>
      <c r="H31" s="269"/>
      <c r="I31" s="266"/>
    </row>
    <row r="32" spans="2:9" s="9" customFormat="1" ht="15" customHeight="1">
      <c r="B32" s="269"/>
      <c r="C32" s="266"/>
      <c r="D32" s="269"/>
      <c r="E32" s="266"/>
      <c r="F32" s="269"/>
      <c r="G32" s="266"/>
      <c r="H32" s="269"/>
      <c r="I32" s="266"/>
    </row>
    <row r="33" spans="2:9" s="9" customFormat="1" ht="15" customHeight="1">
      <c r="B33" s="269"/>
      <c r="C33" s="266"/>
      <c r="D33" s="269"/>
      <c r="E33" s="266"/>
      <c r="F33" s="269"/>
      <c r="G33" s="266"/>
      <c r="H33" s="269"/>
      <c r="I33" s="266"/>
    </row>
    <row r="34" spans="2:9" s="9" customFormat="1" ht="15" customHeight="1">
      <c r="B34" s="269"/>
      <c r="C34" s="266"/>
      <c r="D34" s="269"/>
      <c r="E34" s="266"/>
      <c r="F34" s="269"/>
      <c r="G34" s="266"/>
      <c r="H34" s="269"/>
      <c r="I34" s="266"/>
    </row>
    <row r="35" spans="2:9" s="9" customFormat="1" ht="15" customHeight="1">
      <c r="B35" s="269"/>
      <c r="C35" s="266"/>
      <c r="D35" s="269"/>
      <c r="E35" s="266"/>
      <c r="F35" s="269"/>
      <c r="G35" s="266"/>
      <c r="H35" s="269"/>
      <c r="I35" s="266"/>
    </row>
    <row r="36" spans="2:9" s="9" customFormat="1" ht="15" customHeight="1">
      <c r="B36" s="269"/>
      <c r="C36" s="266"/>
      <c r="D36" s="269"/>
      <c r="E36" s="266"/>
      <c r="F36" s="269"/>
      <c r="G36" s="266"/>
      <c r="H36" s="269"/>
      <c r="I36" s="266"/>
    </row>
    <row r="37" spans="2:9" s="9" customFormat="1" ht="15" customHeight="1">
      <c r="B37" s="269"/>
      <c r="C37" s="266"/>
      <c r="D37" s="269"/>
      <c r="E37" s="266"/>
      <c r="F37" s="269"/>
      <c r="G37" s="266"/>
      <c r="H37" s="269"/>
      <c r="I37" s="266"/>
    </row>
    <row r="38" spans="2:9" s="9" customFormat="1" ht="15" customHeight="1">
      <c r="B38" s="269"/>
      <c r="C38" s="266"/>
      <c r="D38" s="269"/>
      <c r="E38" s="266"/>
      <c r="F38" s="269"/>
      <c r="G38" s="266"/>
      <c r="H38" s="269"/>
      <c r="I38" s="266"/>
    </row>
    <row r="39" spans="2:9" s="9" customFormat="1" ht="15" customHeight="1">
      <c r="B39" s="269"/>
      <c r="C39" s="266"/>
      <c r="D39" s="269"/>
      <c r="E39" s="266"/>
      <c r="F39" s="269"/>
      <c r="G39" s="266"/>
      <c r="H39" s="269"/>
      <c r="I39" s="266"/>
    </row>
    <row r="40" spans="2:9" s="9" customFormat="1" ht="15" customHeight="1">
      <c r="B40" s="269"/>
      <c r="C40" s="266"/>
      <c r="D40" s="269"/>
      <c r="E40" s="266"/>
      <c r="F40" s="269"/>
      <c r="G40" s="266"/>
      <c r="H40" s="269"/>
      <c r="I40" s="266"/>
    </row>
    <row r="41" spans="2:9" s="9" customFormat="1" ht="15" customHeight="1">
      <c r="B41" s="269"/>
      <c r="C41" s="266"/>
      <c r="D41" s="269"/>
      <c r="E41" s="266"/>
      <c r="F41" s="269"/>
      <c r="G41" s="266"/>
      <c r="H41" s="269"/>
      <c r="I41" s="266"/>
    </row>
    <row r="42" spans="2:9" s="9" customFormat="1" ht="15" customHeight="1">
      <c r="B42" s="269"/>
      <c r="C42" s="266"/>
      <c r="D42" s="269"/>
      <c r="E42" s="266"/>
      <c r="F42" s="269"/>
      <c r="G42" s="266"/>
      <c r="H42" s="269"/>
      <c r="I42" s="266"/>
    </row>
    <row r="43" spans="2:9" s="9" customFormat="1" ht="15" customHeight="1">
      <c r="B43" s="269"/>
      <c r="C43" s="266"/>
      <c r="D43" s="269"/>
      <c r="E43" s="266"/>
      <c r="F43" s="269"/>
      <c r="G43" s="266"/>
      <c r="H43" s="269"/>
      <c r="I43" s="266"/>
    </row>
    <row r="44" spans="2:9" s="9" customFormat="1" ht="15" customHeight="1">
      <c r="B44" s="269"/>
      <c r="C44" s="266"/>
      <c r="D44" s="269"/>
      <c r="E44" s="266"/>
      <c r="F44" s="269"/>
      <c r="G44" s="266"/>
      <c r="H44" s="269"/>
      <c r="I44" s="266"/>
    </row>
    <row r="45" spans="2:9" s="9" customFormat="1" ht="15" customHeight="1">
      <c r="B45" s="269"/>
      <c r="C45" s="266"/>
      <c r="D45" s="269"/>
      <c r="E45" s="266"/>
      <c r="F45" s="269"/>
      <c r="G45" s="266"/>
      <c r="H45" s="269"/>
      <c r="I45" s="266"/>
    </row>
    <row r="46" spans="2:9" s="9" customFormat="1" ht="15" customHeight="1">
      <c r="B46" s="269"/>
      <c r="C46" s="266"/>
      <c r="D46" s="269"/>
      <c r="E46" s="266"/>
      <c r="F46" s="269"/>
      <c r="G46" s="266"/>
      <c r="H46" s="269"/>
      <c r="I46" s="266"/>
    </row>
    <row r="47" spans="2:9" s="9" customFormat="1" ht="15" customHeight="1">
      <c r="B47" s="269"/>
      <c r="C47" s="266"/>
      <c r="D47" s="269"/>
      <c r="E47" s="266"/>
      <c r="F47" s="269"/>
      <c r="G47" s="266"/>
      <c r="H47" s="269"/>
      <c r="I47" s="266"/>
    </row>
    <row r="48" spans="2:9" s="9" customFormat="1" ht="15" customHeight="1">
      <c r="B48" s="269"/>
      <c r="C48" s="266"/>
      <c r="D48" s="269"/>
      <c r="E48" s="266"/>
      <c r="F48" s="269"/>
      <c r="G48" s="266"/>
      <c r="H48" s="269"/>
      <c r="I48" s="266"/>
    </row>
    <row r="49" spans="2:9" s="9" customFormat="1" ht="15" customHeight="1">
      <c r="B49" s="269"/>
      <c r="C49" s="266"/>
      <c r="D49" s="269"/>
      <c r="E49" s="266"/>
      <c r="F49" s="269"/>
      <c r="G49" s="266"/>
      <c r="H49" s="269"/>
      <c r="I49" s="266"/>
    </row>
    <row r="50" spans="2:9" s="9" customFormat="1" ht="15" customHeight="1">
      <c r="B50" s="269"/>
      <c r="C50" s="266"/>
      <c r="D50" s="269"/>
      <c r="E50" s="266"/>
      <c r="F50" s="269"/>
      <c r="G50" s="266"/>
      <c r="H50" s="269"/>
      <c r="I50" s="266"/>
    </row>
    <row r="51" spans="2:9" s="9" customFormat="1" ht="15" customHeight="1">
      <c r="B51" s="269"/>
      <c r="C51" s="266"/>
      <c r="D51" s="269"/>
      <c r="E51" s="266"/>
      <c r="F51" s="269"/>
      <c r="G51" s="266"/>
      <c r="H51" s="269"/>
      <c r="I51" s="266"/>
    </row>
    <row r="52" spans="2:9" s="9" customFormat="1" ht="15" customHeight="1">
      <c r="B52" s="269"/>
      <c r="C52" s="266"/>
      <c r="D52" s="269"/>
      <c r="E52" s="266"/>
      <c r="F52" s="269"/>
      <c r="G52" s="266"/>
      <c r="H52" s="269"/>
      <c r="I52" s="266"/>
    </row>
    <row r="53" spans="2:9" s="9" customFormat="1" ht="15" customHeight="1">
      <c r="B53" s="269"/>
      <c r="C53" s="266"/>
      <c r="D53" s="269"/>
      <c r="E53" s="266"/>
      <c r="F53" s="269"/>
      <c r="G53" s="266"/>
      <c r="H53" s="269"/>
      <c r="I53" s="266"/>
    </row>
    <row r="54" spans="2:9" s="9" customFormat="1" ht="15" customHeight="1">
      <c r="B54" s="269"/>
      <c r="C54" s="266"/>
      <c r="D54" s="269"/>
      <c r="E54" s="266"/>
      <c r="F54" s="269"/>
      <c r="G54" s="266"/>
      <c r="H54" s="269"/>
      <c r="I54" s="266"/>
    </row>
    <row r="55" spans="2:9" s="9" customFormat="1" ht="15" customHeight="1">
      <c r="B55" s="269"/>
      <c r="C55" s="266"/>
      <c r="D55" s="269"/>
      <c r="E55" s="266"/>
      <c r="F55" s="269"/>
      <c r="G55" s="266"/>
      <c r="H55" s="269"/>
      <c r="I55" s="266"/>
    </row>
    <row r="56" spans="2:9" s="9" customFormat="1" ht="15" customHeight="1">
      <c r="B56" s="269"/>
      <c r="C56" s="266"/>
      <c r="D56" s="269"/>
      <c r="E56" s="266"/>
      <c r="F56" s="269"/>
      <c r="G56" s="266"/>
      <c r="H56" s="269"/>
      <c r="I56" s="266"/>
    </row>
    <row r="57" spans="2:9" s="9" customFormat="1" ht="15" customHeight="1">
      <c r="B57" s="269"/>
      <c r="C57" s="266"/>
      <c r="D57" s="269"/>
      <c r="E57" s="266"/>
      <c r="F57" s="269"/>
      <c r="G57" s="266"/>
      <c r="H57" s="269"/>
      <c r="I57" s="266"/>
    </row>
    <row r="58" spans="2:9" s="3" customFormat="1" ht="14.25">
      <c r="B58" s="27" t="str">
        <f>+'B2'!B58</f>
        <v>Total Zufuhr</v>
      </c>
      <c r="C58" s="275">
        <f>IF(SUM(C13:C57)=0,0,SUM(C13:C57))</f>
        <v>0</v>
      </c>
      <c r="D58" s="27" t="str">
        <f>+B58</f>
        <v>Total Zufuhr</v>
      </c>
      <c r="E58" s="276">
        <f>IF(SUM(E13:E57)=0,0,SUM(E13:E57))</f>
        <v>0</v>
      </c>
      <c r="F58" s="27" t="str">
        <f>+D58</f>
        <v>Total Zufuhr</v>
      </c>
      <c r="G58" s="275">
        <f>IF(SUM(G13:G57)=0,0,SUM(G13:G57))</f>
        <v>0</v>
      </c>
      <c r="H58" s="27" t="str">
        <f>+F58</f>
        <v>Total Zufuhr</v>
      </c>
      <c r="I58" s="276">
        <f>IF(SUM(I13:I57)=0,0,SUM(I13:I57))</f>
        <v>0</v>
      </c>
    </row>
    <row r="59" spans="2:9" s="3" customFormat="1" ht="11.25"/>
    <row r="60" spans="2:9" ht="18" customHeight="1">
      <c r="B60" s="6" t="str">
        <f>+'B1'!B60</f>
        <v>Es müssen alle eingesetzten Futtermittel erfasst werden.</v>
      </c>
    </row>
    <row r="61" spans="2:9" s="3" customFormat="1" ht="4.5" customHeight="1">
      <c r="E61" s="5"/>
    </row>
    <row r="62" spans="2:9" ht="21" customHeight="1">
      <c r="B62" s="29" t="str">
        <f>+Inv!B80</f>
        <v>Kantonale Kontrollstelle, Datum:</v>
      </c>
      <c r="C62" s="30"/>
      <c r="D62" s="30"/>
      <c r="E62" s="30"/>
      <c r="F62" s="30" t="str">
        <f>+Inv!H80</f>
        <v>Unterschrift:</v>
      </c>
      <c r="G62" s="30"/>
      <c r="H62" s="30"/>
      <c r="I62" s="31"/>
    </row>
    <row r="63" spans="2:9" ht="4.5" customHeight="1"/>
    <row r="64" spans="2:9" ht="21" customHeight="1">
      <c r="B64" s="29" t="str">
        <f>+Inv!B82</f>
        <v>Betriebsleiter, Datum:</v>
      </c>
      <c r="C64" s="30"/>
      <c r="D64" s="30"/>
      <c r="E64" s="30"/>
      <c r="F64" s="30" t="str">
        <f>+Inv!H82</f>
        <v>Unterschrift:</v>
      </c>
      <c r="G64" s="30"/>
      <c r="H64" s="30"/>
      <c r="I64" s="31"/>
    </row>
    <row r="65" spans="6:7" ht="6" customHeight="1">
      <c r="F65" s="10"/>
      <c r="G65" s="10"/>
    </row>
  </sheetData>
  <sheetProtection password="8C69" sheet="1" scenarios="1"/>
  <phoneticPr fontId="28" type="noConversion"/>
  <pageMargins left="0.59055118110236227" right="0.39370078740157483" top="0.39370078740157483" bottom="0.32" header="0.11811023622047245" footer="0.11811023622047245"/>
  <pageSetup paperSize="9" scale="83" orientation="portrait" r:id="rId1"/>
  <headerFooter alignWithMargins="0">
    <oddFooter>&amp;C&amp;9&amp;F&amp;L&amp;"Arial,Fett"&amp;11AGRIDEA &amp;"Arial,Standard"&amp;9Impex, Version 2.6&amp;R&amp;"Arial,Standard"&amp;9&amp;D / Seite &amp;P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B1:I65"/>
  <sheetViews>
    <sheetView showGridLines="0" showRowColHeaders="0" showZeros="0" workbookViewId="0">
      <selection activeCell="B14" sqref="B14"/>
    </sheetView>
  </sheetViews>
  <sheetFormatPr baseColWidth="10" defaultColWidth="11.42578125" defaultRowHeight="12.75"/>
  <cols>
    <col min="1" max="1" width="1.42578125" style="1" customWidth="1"/>
    <col min="2" max="9" width="12.5703125" style="1" customWidth="1"/>
    <col min="10" max="10" width="1.42578125" style="1" customWidth="1"/>
    <col min="11" max="16384" width="11.42578125" style="1"/>
  </cols>
  <sheetData>
    <row r="1" spans="2:9" ht="43.7" customHeight="1">
      <c r="D1" s="186" t="str">
        <f>+A2a!D1</f>
        <v>Impex:   Mastpoulets</v>
      </c>
      <c r="I1" s="187" t="str">
        <f>"B4: "&amp;Textes!A100</f>
        <v>B4: Mischfutterzufuhr</v>
      </c>
    </row>
    <row r="2" spans="2:9" ht="15">
      <c r="B2" s="679" t="str">
        <f>Inv!C4&amp;IF(Inv!D4=0,"",Inv!D4)</f>
        <v xml:space="preserve">Betriebs-Nr:    </v>
      </c>
      <c r="C2" s="191"/>
      <c r="D2" s="680"/>
      <c r="E2" s="681"/>
      <c r="F2" s="682" t="str">
        <f>Inv!C5&amp;IF(Inv!D5=0,"",Inv!D6&amp;" "&amp;Inv!D5)</f>
        <v xml:space="preserve">Name:    </v>
      </c>
      <c r="H2" s="110"/>
    </row>
    <row r="3" spans="2:9" s="6" customFormat="1">
      <c r="B3" s="1"/>
      <c r="C3" s="1"/>
      <c r="D3" s="1"/>
      <c r="E3" s="1"/>
      <c r="F3" s="1"/>
      <c r="G3" s="1"/>
      <c r="H3" s="1"/>
      <c r="I3" s="1"/>
    </row>
    <row r="4" spans="2:9" ht="14.25">
      <c r="B4" s="222" t="str">
        <f>+'B2'!B4</f>
        <v>Futterlieferant</v>
      </c>
      <c r="C4" s="223"/>
      <c r="D4" s="222" t="str">
        <f>+B4</f>
        <v>Futterlieferant</v>
      </c>
      <c r="E4" s="223"/>
      <c r="F4" s="222" t="str">
        <f>+D4</f>
        <v>Futterlieferant</v>
      </c>
      <c r="G4" s="223"/>
      <c r="H4" s="222" t="str">
        <f>+F4</f>
        <v>Futterlieferant</v>
      </c>
      <c r="I4" s="223"/>
    </row>
    <row r="5" spans="2:9" s="7" customFormat="1" ht="18">
      <c r="B5" s="226"/>
      <c r="C5" s="198"/>
      <c r="D5" s="226"/>
      <c r="E5" s="198"/>
      <c r="F5" s="226"/>
      <c r="G5" s="198"/>
      <c r="H5" s="226"/>
      <c r="I5" s="198"/>
    </row>
    <row r="6" spans="2:9" s="6" customFormat="1" ht="15">
      <c r="B6" s="232" t="str">
        <f>IF(Inv!B40=0,"",Inv!B40)</f>
        <v/>
      </c>
      <c r="C6" s="195"/>
      <c r="D6" s="232" t="str">
        <f>IF(Inv!B41=0,"",Inv!B41)</f>
        <v/>
      </c>
      <c r="E6" s="195"/>
      <c r="F6" s="232" t="str">
        <f>IF(Inv!B42=0,"",Inv!B42)</f>
        <v/>
      </c>
      <c r="G6" s="195"/>
      <c r="H6" s="232" t="str">
        <f>IF(Inv!B43=0,"",Inv!B43)</f>
        <v/>
      </c>
      <c r="I6" s="195"/>
    </row>
    <row r="7" spans="2:9" s="42" customFormat="1" ht="15">
      <c r="B7" s="112" t="str">
        <f>+'B2'!B7</f>
        <v>TS in %</v>
      </c>
      <c r="C7" s="113" t="str">
        <f>IF(Inv!F40=0,"",Inv!F40)</f>
        <v/>
      </c>
      <c r="D7" s="112" t="str">
        <f>+B7</f>
        <v>TS in %</v>
      </c>
      <c r="E7" s="114" t="str">
        <f>IF(Inv!F41=0,"",Inv!F41)</f>
        <v/>
      </c>
      <c r="F7" s="112" t="str">
        <f>+B7</f>
        <v>TS in %</v>
      </c>
      <c r="G7" s="114" t="str">
        <f>IF(Inv!F42=0,"",Inv!F42)</f>
        <v/>
      </c>
      <c r="H7" s="112" t="str">
        <f>+B7</f>
        <v>TS in %</v>
      </c>
      <c r="I7" s="114" t="str">
        <f>IF(Inv!F43=0,"",Inv!F43)</f>
        <v/>
      </c>
    </row>
    <row r="8" spans="2:9" s="42" customFormat="1" ht="15">
      <c r="B8" s="196" t="str">
        <f>+'B2'!B8</f>
        <v>pro kg Futter</v>
      </c>
      <c r="C8" s="197"/>
      <c r="D8" s="196" t="str">
        <f>+B8</f>
        <v>pro kg Futter</v>
      </c>
      <c r="E8" s="197"/>
      <c r="F8" s="196" t="str">
        <f>+D8</f>
        <v>pro kg Futter</v>
      </c>
      <c r="G8" s="197"/>
      <c r="H8" s="196" t="str">
        <f>+F8</f>
        <v>pro kg Futter</v>
      </c>
      <c r="I8" s="197"/>
    </row>
    <row r="9" spans="2:9" ht="14.25">
      <c r="B9" s="115" t="str">
        <f>'B1'!B9</f>
        <v>MJ UEG</v>
      </c>
      <c r="C9" s="116" t="str">
        <f>IF(Inv!G40=0,"",Inv!G40)</f>
        <v/>
      </c>
      <c r="D9" s="115" t="str">
        <f>'B1'!B9</f>
        <v>MJ UEG</v>
      </c>
      <c r="E9" s="116" t="str">
        <f>IF(Inv!G41=0,"",Inv!G41)</f>
        <v/>
      </c>
      <c r="F9" s="115" t="str">
        <f>'B1'!B9</f>
        <v>MJ UEG</v>
      </c>
      <c r="G9" s="116" t="str">
        <f>IF(Inv!G42=0,"",Inv!G42)</f>
        <v/>
      </c>
      <c r="H9" s="115" t="str">
        <f>'B1'!B9</f>
        <v>MJ UEG</v>
      </c>
      <c r="I9" s="116" t="str">
        <f>IF(Inv!G43=0,"",Inv!G43)</f>
        <v/>
      </c>
    </row>
    <row r="10" spans="2:9" s="8" customFormat="1" ht="14.25">
      <c r="B10" s="115" t="str">
        <f>'B1'!B10</f>
        <v>g RP</v>
      </c>
      <c r="C10" s="111" t="str">
        <f>IF(Inv!H40=0,"",Inv!H40)</f>
        <v/>
      </c>
      <c r="D10" s="115" t="str">
        <f>'B1'!B10</f>
        <v>g RP</v>
      </c>
      <c r="E10" s="111" t="str">
        <f>IF(Inv!H41=0,"",Inv!H41)</f>
        <v/>
      </c>
      <c r="F10" s="115" t="str">
        <f>'B1'!B10</f>
        <v>g RP</v>
      </c>
      <c r="G10" s="111" t="str">
        <f>IF(Inv!H42=0,"",Inv!H42)</f>
        <v/>
      </c>
      <c r="H10" s="115" t="str">
        <f>'B1'!B10</f>
        <v>g RP</v>
      </c>
      <c r="I10" s="111" t="str">
        <f>IF(Inv!H43=0,"",Inv!H43)</f>
        <v/>
      </c>
    </row>
    <row r="11" spans="2:9" s="8" customFormat="1" ht="14.25">
      <c r="B11" s="117" t="str">
        <f>'B1'!B11</f>
        <v>g P</v>
      </c>
      <c r="C11" s="61" t="str">
        <f>IF(Inv!I40=0,"",Inv!I40)</f>
        <v/>
      </c>
      <c r="D11" s="117" t="str">
        <f>'B1'!B11</f>
        <v>g P</v>
      </c>
      <c r="E11" s="61" t="str">
        <f>IF(Inv!I41=0,"",Inv!I41)</f>
        <v/>
      </c>
      <c r="F11" s="117" t="str">
        <f>'B1'!B11</f>
        <v>g P</v>
      </c>
      <c r="G11" s="61" t="str">
        <f>IF(Inv!I42=0,"",Inv!I42)</f>
        <v/>
      </c>
      <c r="H11" s="117" t="str">
        <f>'B1'!B11</f>
        <v>g P</v>
      </c>
      <c r="I11" s="61" t="str">
        <f>IF(Inv!I43=0,"",Inv!I43)</f>
        <v/>
      </c>
    </row>
    <row r="12" spans="2:9" ht="14.25">
      <c r="B12" s="48" t="str">
        <f>+'B2'!B12</f>
        <v>Datum</v>
      </c>
      <c r="C12" s="49" t="str">
        <f>+'B2'!C12</f>
        <v>kg Futter</v>
      </c>
      <c r="D12" s="48" t="str">
        <f t="shared" ref="D12:I12" si="0">+B12</f>
        <v>Datum</v>
      </c>
      <c r="E12" s="49" t="str">
        <f t="shared" si="0"/>
        <v>kg Futter</v>
      </c>
      <c r="F12" s="48" t="str">
        <f t="shared" si="0"/>
        <v>Datum</v>
      </c>
      <c r="G12" s="49" t="str">
        <f t="shared" si="0"/>
        <v>kg Futter</v>
      </c>
      <c r="H12" s="48" t="str">
        <f t="shared" si="0"/>
        <v>Datum</v>
      </c>
      <c r="I12" s="49" t="str">
        <f t="shared" si="0"/>
        <v>kg Futter</v>
      </c>
    </row>
    <row r="13" spans="2:9" s="9" customFormat="1" ht="15" hidden="1" customHeight="1">
      <c r="B13" s="269"/>
      <c r="C13" s="266"/>
      <c r="D13" s="284"/>
      <c r="E13" s="266"/>
      <c r="F13" s="284"/>
      <c r="G13" s="266"/>
      <c r="H13" s="284"/>
      <c r="I13" s="266"/>
    </row>
    <row r="14" spans="2:9" s="9" customFormat="1" ht="15" customHeight="1">
      <c r="B14" s="269"/>
      <c r="C14" s="266"/>
      <c r="D14" s="284"/>
      <c r="E14" s="266"/>
      <c r="F14" s="284"/>
      <c r="G14" s="266"/>
      <c r="H14" s="284"/>
      <c r="I14" s="266"/>
    </row>
    <row r="15" spans="2:9" s="9" customFormat="1" ht="15" customHeight="1">
      <c r="B15" s="274"/>
      <c r="C15" s="267"/>
      <c r="D15" s="274"/>
      <c r="E15" s="267"/>
      <c r="F15" s="285"/>
      <c r="G15" s="267"/>
      <c r="H15" s="274"/>
      <c r="I15" s="267"/>
    </row>
    <row r="16" spans="2:9" s="9" customFormat="1" ht="15" customHeight="1">
      <c r="B16" s="269"/>
      <c r="C16" s="266"/>
      <c r="D16" s="269"/>
      <c r="E16" s="266"/>
      <c r="F16" s="269"/>
      <c r="G16" s="266"/>
      <c r="H16" s="269"/>
      <c r="I16" s="266"/>
    </row>
    <row r="17" spans="2:9" s="9" customFormat="1" ht="15" customHeight="1">
      <c r="B17" s="269"/>
      <c r="C17" s="266"/>
      <c r="D17" s="269"/>
      <c r="E17" s="266"/>
      <c r="F17" s="269"/>
      <c r="G17" s="266"/>
      <c r="H17" s="269"/>
      <c r="I17" s="266"/>
    </row>
    <row r="18" spans="2:9" s="9" customFormat="1" ht="15" customHeight="1">
      <c r="B18" s="269"/>
      <c r="C18" s="266"/>
      <c r="D18" s="269"/>
      <c r="E18" s="266"/>
      <c r="F18" s="269"/>
      <c r="G18" s="266"/>
      <c r="H18" s="269"/>
      <c r="I18" s="266"/>
    </row>
    <row r="19" spans="2:9" s="9" customFormat="1" ht="15" customHeight="1">
      <c r="B19" s="269"/>
      <c r="C19" s="266"/>
      <c r="D19" s="269"/>
      <c r="E19" s="266"/>
      <c r="F19" s="269"/>
      <c r="G19" s="266"/>
      <c r="H19" s="269"/>
      <c r="I19" s="266"/>
    </row>
    <row r="20" spans="2:9" s="9" customFormat="1" ht="15" customHeight="1">
      <c r="B20" s="269"/>
      <c r="C20" s="266"/>
      <c r="D20" s="269"/>
      <c r="E20" s="266"/>
      <c r="F20" s="269"/>
      <c r="G20" s="266"/>
      <c r="H20" s="269"/>
      <c r="I20" s="266"/>
    </row>
    <row r="21" spans="2:9" s="9" customFormat="1" ht="15" customHeight="1">
      <c r="B21" s="269"/>
      <c r="C21" s="266"/>
      <c r="D21" s="269"/>
      <c r="E21" s="266"/>
      <c r="F21" s="269"/>
      <c r="G21" s="266"/>
      <c r="H21" s="269"/>
      <c r="I21" s="266"/>
    </row>
    <row r="22" spans="2:9" s="9" customFormat="1" ht="15" customHeight="1">
      <c r="B22" s="269"/>
      <c r="C22" s="266"/>
      <c r="D22" s="269"/>
      <c r="E22" s="266"/>
      <c r="F22" s="269"/>
      <c r="G22" s="266"/>
      <c r="H22" s="269"/>
      <c r="I22" s="266"/>
    </row>
    <row r="23" spans="2:9" s="9" customFormat="1" ht="15" customHeight="1">
      <c r="B23" s="269"/>
      <c r="C23" s="266"/>
      <c r="D23" s="269"/>
      <c r="E23" s="266"/>
      <c r="F23" s="269"/>
      <c r="G23" s="266"/>
      <c r="H23" s="269"/>
      <c r="I23" s="266"/>
    </row>
    <row r="24" spans="2:9" s="9" customFormat="1" ht="15" customHeight="1">
      <c r="B24" s="269"/>
      <c r="C24" s="266"/>
      <c r="D24" s="269"/>
      <c r="E24" s="266"/>
      <c r="F24" s="269"/>
      <c r="G24" s="266"/>
      <c r="H24" s="269"/>
      <c r="I24" s="266"/>
    </row>
    <row r="25" spans="2:9" s="9" customFormat="1" ht="15" customHeight="1">
      <c r="B25" s="269"/>
      <c r="C25" s="266"/>
      <c r="D25" s="269"/>
      <c r="E25" s="266"/>
      <c r="F25" s="269"/>
      <c r="G25" s="266"/>
      <c r="H25" s="269"/>
      <c r="I25" s="266"/>
    </row>
    <row r="26" spans="2:9" s="9" customFormat="1" ht="15" customHeight="1">
      <c r="B26" s="269"/>
      <c r="C26" s="266"/>
      <c r="D26" s="269"/>
      <c r="E26" s="266"/>
      <c r="F26" s="269"/>
      <c r="G26" s="266"/>
      <c r="H26" s="269"/>
      <c r="I26" s="266"/>
    </row>
    <row r="27" spans="2:9" s="9" customFormat="1" ht="15" customHeight="1">
      <c r="B27" s="269"/>
      <c r="C27" s="266"/>
      <c r="D27" s="269"/>
      <c r="E27" s="266"/>
      <c r="F27" s="269"/>
      <c r="G27" s="266"/>
      <c r="H27" s="269"/>
      <c r="I27" s="266"/>
    </row>
    <row r="28" spans="2:9" s="9" customFormat="1" ht="15" customHeight="1">
      <c r="B28" s="269"/>
      <c r="C28" s="266"/>
      <c r="D28" s="269"/>
      <c r="E28" s="266"/>
      <c r="F28" s="269"/>
      <c r="G28" s="266"/>
      <c r="H28" s="269"/>
      <c r="I28" s="266"/>
    </row>
    <row r="29" spans="2:9" s="9" customFormat="1" ht="15" customHeight="1">
      <c r="B29" s="269"/>
      <c r="C29" s="266"/>
      <c r="D29" s="269"/>
      <c r="E29" s="266"/>
      <c r="F29" s="269"/>
      <c r="G29" s="266"/>
      <c r="H29" s="269"/>
      <c r="I29" s="266"/>
    </row>
    <row r="30" spans="2:9" s="9" customFormat="1" ht="15" customHeight="1">
      <c r="B30" s="269"/>
      <c r="C30" s="266"/>
      <c r="D30" s="269"/>
      <c r="E30" s="266"/>
      <c r="F30" s="269"/>
      <c r="G30" s="266"/>
      <c r="H30" s="269"/>
      <c r="I30" s="266"/>
    </row>
    <row r="31" spans="2:9" s="9" customFormat="1" ht="15" customHeight="1">
      <c r="B31" s="269"/>
      <c r="C31" s="266"/>
      <c r="D31" s="269"/>
      <c r="E31" s="266"/>
      <c r="F31" s="269"/>
      <c r="G31" s="266"/>
      <c r="H31" s="269"/>
      <c r="I31" s="266"/>
    </row>
    <row r="32" spans="2:9" s="9" customFormat="1" ht="15" customHeight="1">
      <c r="B32" s="269"/>
      <c r="C32" s="266"/>
      <c r="D32" s="269"/>
      <c r="E32" s="266"/>
      <c r="F32" s="269"/>
      <c r="G32" s="266"/>
      <c r="H32" s="269"/>
      <c r="I32" s="266"/>
    </row>
    <row r="33" spans="2:9" s="9" customFormat="1" ht="15" customHeight="1">
      <c r="B33" s="269"/>
      <c r="C33" s="266"/>
      <c r="D33" s="269"/>
      <c r="E33" s="266"/>
      <c r="F33" s="269"/>
      <c r="G33" s="266"/>
      <c r="H33" s="269"/>
      <c r="I33" s="266"/>
    </row>
    <row r="34" spans="2:9" s="9" customFormat="1" ht="15" customHeight="1">
      <c r="B34" s="269"/>
      <c r="C34" s="266"/>
      <c r="D34" s="269"/>
      <c r="E34" s="266"/>
      <c r="F34" s="269"/>
      <c r="G34" s="266"/>
      <c r="H34" s="269"/>
      <c r="I34" s="266"/>
    </row>
    <row r="35" spans="2:9" s="9" customFormat="1" ht="15" customHeight="1">
      <c r="B35" s="269"/>
      <c r="C35" s="266"/>
      <c r="D35" s="269"/>
      <c r="E35" s="266"/>
      <c r="F35" s="269"/>
      <c r="G35" s="266"/>
      <c r="H35" s="269"/>
      <c r="I35" s="266"/>
    </row>
    <row r="36" spans="2:9" s="9" customFormat="1" ht="15" customHeight="1">
      <c r="B36" s="269"/>
      <c r="C36" s="266"/>
      <c r="D36" s="269"/>
      <c r="E36" s="266"/>
      <c r="F36" s="269"/>
      <c r="G36" s="266"/>
      <c r="H36" s="269"/>
      <c r="I36" s="266"/>
    </row>
    <row r="37" spans="2:9" s="9" customFormat="1" ht="15" customHeight="1">
      <c r="B37" s="269"/>
      <c r="C37" s="266"/>
      <c r="D37" s="269"/>
      <c r="E37" s="266"/>
      <c r="F37" s="269"/>
      <c r="G37" s="266"/>
      <c r="H37" s="269"/>
      <c r="I37" s="266"/>
    </row>
    <row r="38" spans="2:9" s="9" customFormat="1" ht="15" customHeight="1">
      <c r="B38" s="269"/>
      <c r="C38" s="266"/>
      <c r="D38" s="269"/>
      <c r="E38" s="266"/>
      <c r="F38" s="269"/>
      <c r="G38" s="266"/>
      <c r="H38" s="269"/>
      <c r="I38" s="266"/>
    </row>
    <row r="39" spans="2:9" s="9" customFormat="1" ht="15" customHeight="1">
      <c r="B39" s="269"/>
      <c r="C39" s="266"/>
      <c r="D39" s="269"/>
      <c r="E39" s="266"/>
      <c r="F39" s="269"/>
      <c r="G39" s="266"/>
      <c r="H39" s="269"/>
      <c r="I39" s="266"/>
    </row>
    <row r="40" spans="2:9" s="9" customFormat="1" ht="15" customHeight="1">
      <c r="B40" s="269"/>
      <c r="C40" s="266"/>
      <c r="D40" s="269"/>
      <c r="E40" s="266"/>
      <c r="F40" s="269"/>
      <c r="G40" s="266"/>
      <c r="H40" s="269"/>
      <c r="I40" s="266"/>
    </row>
    <row r="41" spans="2:9" s="9" customFormat="1" ht="15" customHeight="1">
      <c r="B41" s="269"/>
      <c r="C41" s="266"/>
      <c r="D41" s="269"/>
      <c r="E41" s="266"/>
      <c r="F41" s="269"/>
      <c r="G41" s="266"/>
      <c r="H41" s="269"/>
      <c r="I41" s="266"/>
    </row>
    <row r="42" spans="2:9" s="9" customFormat="1" ht="15" customHeight="1">
      <c r="B42" s="269"/>
      <c r="C42" s="266"/>
      <c r="D42" s="269"/>
      <c r="E42" s="266"/>
      <c r="F42" s="269"/>
      <c r="G42" s="266"/>
      <c r="H42" s="269"/>
      <c r="I42" s="266"/>
    </row>
    <row r="43" spans="2:9" s="9" customFormat="1" ht="15" customHeight="1">
      <c r="B43" s="269"/>
      <c r="C43" s="266"/>
      <c r="D43" s="269"/>
      <c r="E43" s="266"/>
      <c r="F43" s="269"/>
      <c r="G43" s="266"/>
      <c r="H43" s="269"/>
      <c r="I43" s="266"/>
    </row>
    <row r="44" spans="2:9" s="9" customFormat="1" ht="15" customHeight="1">
      <c r="B44" s="269"/>
      <c r="C44" s="266"/>
      <c r="D44" s="269"/>
      <c r="E44" s="266"/>
      <c r="F44" s="269"/>
      <c r="G44" s="266"/>
      <c r="H44" s="269"/>
      <c r="I44" s="266"/>
    </row>
    <row r="45" spans="2:9" s="9" customFormat="1" ht="15" customHeight="1">
      <c r="B45" s="269"/>
      <c r="C45" s="266"/>
      <c r="D45" s="269"/>
      <c r="E45" s="266"/>
      <c r="F45" s="269"/>
      <c r="G45" s="266"/>
      <c r="H45" s="269"/>
      <c r="I45" s="266"/>
    </row>
    <row r="46" spans="2:9" s="9" customFormat="1" ht="15" customHeight="1">
      <c r="B46" s="269"/>
      <c r="C46" s="266"/>
      <c r="D46" s="269"/>
      <c r="E46" s="266"/>
      <c r="F46" s="269"/>
      <c r="G46" s="266"/>
      <c r="H46" s="269"/>
      <c r="I46" s="266"/>
    </row>
    <row r="47" spans="2:9" s="9" customFormat="1" ht="15" customHeight="1">
      <c r="B47" s="269"/>
      <c r="C47" s="266"/>
      <c r="D47" s="269"/>
      <c r="E47" s="266"/>
      <c r="F47" s="269"/>
      <c r="G47" s="266"/>
      <c r="H47" s="269"/>
      <c r="I47" s="266"/>
    </row>
    <row r="48" spans="2:9" s="9" customFormat="1" ht="15" customHeight="1">
      <c r="B48" s="269"/>
      <c r="C48" s="266"/>
      <c r="D48" s="269"/>
      <c r="E48" s="266"/>
      <c r="F48" s="269"/>
      <c r="G48" s="266"/>
      <c r="H48" s="269"/>
      <c r="I48" s="266"/>
    </row>
    <row r="49" spans="2:9" s="9" customFormat="1" ht="15" customHeight="1">
      <c r="B49" s="269"/>
      <c r="C49" s="266"/>
      <c r="D49" s="269"/>
      <c r="E49" s="266"/>
      <c r="F49" s="269"/>
      <c r="G49" s="266"/>
      <c r="H49" s="269"/>
      <c r="I49" s="266"/>
    </row>
    <row r="50" spans="2:9" s="9" customFormat="1" ht="15" customHeight="1">
      <c r="B50" s="269"/>
      <c r="C50" s="266"/>
      <c r="D50" s="269"/>
      <c r="E50" s="266"/>
      <c r="F50" s="269"/>
      <c r="G50" s="266"/>
      <c r="H50" s="269"/>
      <c r="I50" s="266"/>
    </row>
    <row r="51" spans="2:9" s="9" customFormat="1" ht="15" customHeight="1">
      <c r="B51" s="269"/>
      <c r="C51" s="266"/>
      <c r="D51" s="269"/>
      <c r="E51" s="266"/>
      <c r="F51" s="269"/>
      <c r="G51" s="266"/>
      <c r="H51" s="269"/>
      <c r="I51" s="266"/>
    </row>
    <row r="52" spans="2:9" s="9" customFormat="1" ht="15" customHeight="1">
      <c r="B52" s="269"/>
      <c r="C52" s="266"/>
      <c r="D52" s="269"/>
      <c r="E52" s="266"/>
      <c r="F52" s="269"/>
      <c r="G52" s="266"/>
      <c r="H52" s="269"/>
      <c r="I52" s="266"/>
    </row>
    <row r="53" spans="2:9" s="9" customFormat="1" ht="15" customHeight="1">
      <c r="B53" s="269"/>
      <c r="C53" s="266"/>
      <c r="D53" s="269"/>
      <c r="E53" s="266"/>
      <c r="F53" s="269"/>
      <c r="G53" s="266"/>
      <c r="H53" s="269"/>
      <c r="I53" s="266"/>
    </row>
    <row r="54" spans="2:9" s="9" customFormat="1" ht="15" customHeight="1">
      <c r="B54" s="269"/>
      <c r="C54" s="266"/>
      <c r="D54" s="269"/>
      <c r="E54" s="266"/>
      <c r="F54" s="269"/>
      <c r="G54" s="266"/>
      <c r="H54" s="269"/>
      <c r="I54" s="266"/>
    </row>
    <row r="55" spans="2:9" s="9" customFormat="1" ht="15" customHeight="1">
      <c r="B55" s="269"/>
      <c r="C55" s="266"/>
      <c r="D55" s="269"/>
      <c r="E55" s="266"/>
      <c r="F55" s="269"/>
      <c r="G55" s="266"/>
      <c r="H55" s="269"/>
      <c r="I55" s="266"/>
    </row>
    <row r="56" spans="2:9" s="9" customFormat="1" ht="15" customHeight="1">
      <c r="B56" s="269"/>
      <c r="C56" s="266"/>
      <c r="D56" s="269"/>
      <c r="E56" s="266"/>
      <c r="F56" s="269"/>
      <c r="G56" s="266"/>
      <c r="H56" s="269"/>
      <c r="I56" s="266"/>
    </row>
    <row r="57" spans="2:9" s="9" customFormat="1" ht="15" customHeight="1">
      <c r="B57" s="269"/>
      <c r="C57" s="266"/>
      <c r="D57" s="269"/>
      <c r="E57" s="266"/>
      <c r="F57" s="269"/>
      <c r="G57" s="266"/>
      <c r="H57" s="269"/>
      <c r="I57" s="266"/>
    </row>
    <row r="58" spans="2:9" s="3" customFormat="1" ht="14.25">
      <c r="B58" s="27" t="str">
        <f>+'B2'!B58</f>
        <v>Total Zufuhr</v>
      </c>
      <c r="C58" s="275">
        <f>IF(SUM(C13:C57)=0,0,SUM(C13:C57))</f>
        <v>0</v>
      </c>
      <c r="D58" s="27" t="str">
        <f>+B58</f>
        <v>Total Zufuhr</v>
      </c>
      <c r="E58" s="276">
        <f>IF(SUM(E13:E57)=0,0,SUM(E13:E57))</f>
        <v>0</v>
      </c>
      <c r="F58" s="27" t="str">
        <f>+D58</f>
        <v>Total Zufuhr</v>
      </c>
      <c r="G58" s="275">
        <f>IF(SUM(G13:G57)=0,0,SUM(G13:G57))</f>
        <v>0</v>
      </c>
      <c r="H58" s="27" t="str">
        <f>+F58</f>
        <v>Total Zufuhr</v>
      </c>
      <c r="I58" s="276">
        <f>IF(SUM(I13:I57)=0,0,SUM(I13:I57))</f>
        <v>0</v>
      </c>
    </row>
    <row r="59" spans="2:9" s="3" customFormat="1" ht="11.25"/>
    <row r="60" spans="2:9" ht="18" customHeight="1">
      <c r="B60" s="6" t="str">
        <f>+'B1'!B60</f>
        <v>Es müssen alle eingesetzten Futtermittel erfasst werden.</v>
      </c>
    </row>
    <row r="61" spans="2:9" s="3" customFormat="1" ht="4.5" customHeight="1">
      <c r="E61" s="5"/>
    </row>
    <row r="62" spans="2:9" ht="21" customHeight="1">
      <c r="B62" s="29" t="str">
        <f>+Inv!B80</f>
        <v>Kantonale Kontrollstelle, Datum:</v>
      </c>
      <c r="C62" s="30"/>
      <c r="D62" s="30"/>
      <c r="E62" s="30"/>
      <c r="F62" s="30" t="str">
        <f>+Inv!H80</f>
        <v>Unterschrift:</v>
      </c>
      <c r="G62" s="30"/>
      <c r="H62" s="30"/>
      <c r="I62" s="31"/>
    </row>
    <row r="63" spans="2:9" ht="4.5" customHeight="1"/>
    <row r="64" spans="2:9" ht="21" customHeight="1">
      <c r="B64" s="29" t="str">
        <f>+Inv!B82</f>
        <v>Betriebsleiter, Datum:</v>
      </c>
      <c r="C64" s="30"/>
      <c r="D64" s="30"/>
      <c r="E64" s="30"/>
      <c r="F64" s="30" t="str">
        <f>+Inv!H82</f>
        <v>Unterschrift:</v>
      </c>
      <c r="G64" s="30"/>
      <c r="H64" s="30"/>
      <c r="I64" s="31"/>
    </row>
    <row r="65" spans="6:7" ht="6" customHeight="1">
      <c r="F65" s="10"/>
      <c r="G65" s="10"/>
    </row>
  </sheetData>
  <sheetProtection password="8C69" sheet="1" scenarios="1"/>
  <phoneticPr fontId="28" type="noConversion"/>
  <pageMargins left="0.59055118110236227" right="0.39370078740157483" top="0.39370078740157483" bottom="0.32" header="0.11811023622047245" footer="0.11811023622047245"/>
  <pageSetup paperSize="9" scale="83" orientation="portrait" r:id="rId1"/>
  <headerFooter alignWithMargins="0">
    <oddFooter>&amp;C&amp;9&amp;F&amp;L&amp;"Arial,Fett"&amp;11AGRIDEA &amp;"Arial,Standard"&amp;9Impex, Version 2.6&amp;R&amp;"Arial,Standard"&amp;9&amp;D / Seite &amp;P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pageSetUpPr fitToPage="1"/>
  </sheetPr>
  <dimension ref="A1:O65"/>
  <sheetViews>
    <sheetView showGridLines="0" showRowColHeaders="0" workbookViewId="0">
      <selection activeCell="B14" sqref="B14"/>
    </sheetView>
  </sheetViews>
  <sheetFormatPr baseColWidth="10" defaultColWidth="11.42578125" defaultRowHeight="12.75"/>
  <cols>
    <col min="1" max="1" width="1.42578125" style="1" customWidth="1"/>
    <col min="2" max="9" width="12.5703125" style="1" customWidth="1"/>
    <col min="10" max="10" width="1.42578125" style="1" customWidth="1"/>
    <col min="11" max="12" width="11.42578125" style="1"/>
    <col min="13" max="15" width="11.42578125" style="6"/>
    <col min="16" max="16384" width="11.42578125" style="1"/>
  </cols>
  <sheetData>
    <row r="1" spans="2:9" ht="43.7" customHeight="1">
      <c r="D1" s="186" t="str">
        <f>+A2a!D1</f>
        <v>Impex:   Mastpoulets</v>
      </c>
      <c r="I1" s="187" t="str">
        <f>"BX1: "&amp;Textes!A100</f>
        <v>BX1: Mischfutterzufuhr</v>
      </c>
    </row>
    <row r="2" spans="2:9" ht="15">
      <c r="B2" s="679" t="str">
        <f>Inv!C4&amp;IF(Inv!D4=0,"",Inv!D4)</f>
        <v xml:space="preserve">Betriebs-Nr:    </v>
      </c>
      <c r="C2" s="191"/>
      <c r="D2" s="680"/>
      <c r="E2" s="681"/>
      <c r="F2" s="682" t="str">
        <f>Inv!C5&amp;IF(Inv!D5=0,"",Inv!D6&amp;" "&amp;Inv!D5)</f>
        <v xml:space="preserve">Name:    </v>
      </c>
      <c r="H2" s="110"/>
    </row>
    <row r="3" spans="2:9" s="6" customFormat="1">
      <c r="B3" s="217"/>
    </row>
    <row r="4" spans="2:9" ht="14.25">
      <c r="B4" s="222" t="str">
        <f>+Textes!A102</f>
        <v>Futterlieferant</v>
      </c>
      <c r="C4" s="223"/>
      <c r="D4" s="222" t="str">
        <f>+B4</f>
        <v>Futterlieferant</v>
      </c>
      <c r="E4" s="223"/>
      <c r="F4" s="192" t="str">
        <f>+D4</f>
        <v>Futterlieferant</v>
      </c>
      <c r="G4" s="181"/>
      <c r="H4" s="222" t="str">
        <f>+F4</f>
        <v>Futterlieferant</v>
      </c>
      <c r="I4" s="223"/>
    </row>
    <row r="5" spans="2:9" s="7" customFormat="1" ht="18">
      <c r="B5" s="231"/>
      <c r="C5" s="198"/>
      <c r="D5" s="226"/>
      <c r="E5" s="198"/>
      <c r="F5" s="227"/>
      <c r="G5" s="224"/>
      <c r="H5" s="226"/>
      <c r="I5" s="198"/>
    </row>
    <row r="6" spans="2:9" s="42" customFormat="1" ht="15.75">
      <c r="B6" s="232" t="str">
        <f>IF(Inv!B44=0,"",+Inv!B44)</f>
        <v/>
      </c>
      <c r="C6" s="195"/>
      <c r="D6" s="232" t="str">
        <f>IF(Inv!B45=0,"",Inv!B45)</f>
        <v/>
      </c>
      <c r="E6" s="195"/>
      <c r="F6" s="232" t="str">
        <f>IF(Inv!B46=0,"",Inv!B46)</f>
        <v/>
      </c>
      <c r="G6" s="195"/>
      <c r="H6" s="232" t="str">
        <f>IF(Inv!B47=0,"",Inv!B47)</f>
        <v/>
      </c>
      <c r="I6" s="195"/>
    </row>
    <row r="7" spans="2:9" s="42" customFormat="1" ht="15">
      <c r="B7" s="112" t="str">
        <f>+Inv!F26</f>
        <v>TS in %</v>
      </c>
      <c r="C7" s="113" t="str">
        <f>IF(Inv!F44=0,"",Inv!F44)</f>
        <v/>
      </c>
      <c r="D7" s="112" t="str">
        <f>+B7</f>
        <v>TS in %</v>
      </c>
      <c r="E7" s="114" t="str">
        <f>IF(Inv!F45=0,"",Inv!F45)</f>
        <v/>
      </c>
      <c r="F7" s="112" t="str">
        <f>+B7</f>
        <v>TS in %</v>
      </c>
      <c r="G7" s="114" t="str">
        <f>IF(Inv!F46=0,"",Inv!F46)</f>
        <v/>
      </c>
      <c r="H7" s="112" t="str">
        <f>+B7</f>
        <v>TS in %</v>
      </c>
      <c r="I7" s="114" t="str">
        <f>IF(Inv!F47=0,"",Inv!F47)</f>
        <v/>
      </c>
    </row>
    <row r="8" spans="2:9" s="42" customFormat="1" ht="15">
      <c r="B8" s="196" t="str">
        <f>+Textes!A103</f>
        <v>pro kg Futter</v>
      </c>
      <c r="C8" s="197"/>
      <c r="D8" s="196" t="str">
        <f>+B8</f>
        <v>pro kg Futter</v>
      </c>
      <c r="E8" s="197"/>
      <c r="F8" s="196" t="str">
        <f>+D8</f>
        <v>pro kg Futter</v>
      </c>
      <c r="G8" s="197"/>
      <c r="H8" s="196" t="str">
        <f>+F8</f>
        <v>pro kg Futter</v>
      </c>
      <c r="I8" s="197"/>
    </row>
    <row r="9" spans="2:9" ht="14.25">
      <c r="B9" s="115" t="str">
        <f>+Inv!G26</f>
        <v>MJ UEG</v>
      </c>
      <c r="C9" s="116" t="str">
        <f>IF(Inv!G44=0,"",Inv!G44)</f>
        <v/>
      </c>
      <c r="D9" s="115" t="str">
        <f>B9</f>
        <v>MJ UEG</v>
      </c>
      <c r="E9" s="116" t="str">
        <f>IF(Inv!G45=0,"",Inv!G45)</f>
        <v/>
      </c>
      <c r="F9" s="115" t="str">
        <f>B9</f>
        <v>MJ UEG</v>
      </c>
      <c r="G9" s="116" t="str">
        <f>IF(Inv!G46=0,"",Inv!G46)</f>
        <v/>
      </c>
      <c r="H9" s="115" t="str">
        <f>B9</f>
        <v>MJ UEG</v>
      </c>
      <c r="I9" s="116" t="str">
        <f>IF(Inv!G47=0,"",Inv!G47)</f>
        <v/>
      </c>
    </row>
    <row r="10" spans="2:9" s="8" customFormat="1" ht="14.25">
      <c r="B10" s="115" t="str">
        <f>+Inv!H26</f>
        <v>g RP</v>
      </c>
      <c r="C10" s="111" t="str">
        <f>IF(Inv!H44=0,"",Inv!H44)</f>
        <v/>
      </c>
      <c r="D10" s="115" t="str">
        <f>B10</f>
        <v>g RP</v>
      </c>
      <c r="E10" s="111" t="str">
        <f>IF(Inv!H45=0,"",Inv!H45)</f>
        <v/>
      </c>
      <c r="F10" s="115" t="str">
        <f>B10</f>
        <v>g RP</v>
      </c>
      <c r="G10" s="111" t="str">
        <f>IF(Inv!H46=0,"",Inv!H46)</f>
        <v/>
      </c>
      <c r="H10" s="115" t="str">
        <f>B10</f>
        <v>g RP</v>
      </c>
      <c r="I10" s="111" t="str">
        <f>IF(Inv!H47=0,"",Inv!H47)</f>
        <v/>
      </c>
    </row>
    <row r="11" spans="2:9" s="8" customFormat="1" ht="14.25">
      <c r="B11" s="117" t="str">
        <f>+Inv!I26</f>
        <v>g P</v>
      </c>
      <c r="C11" s="61" t="str">
        <f>IF(Inv!I44=0,"",Inv!I44)</f>
        <v/>
      </c>
      <c r="D11" s="117" t="str">
        <f>B11</f>
        <v>g P</v>
      </c>
      <c r="E11" s="61" t="str">
        <f>IF(Inv!I45=0,"",Inv!I45)</f>
        <v/>
      </c>
      <c r="F11" s="117" t="str">
        <f>B11</f>
        <v>g P</v>
      </c>
      <c r="G11" s="61" t="str">
        <f>IF(Inv!I46=0,"",Inv!I46)</f>
        <v/>
      </c>
      <c r="H11" s="117" t="str">
        <f>B11</f>
        <v>g P</v>
      </c>
      <c r="I11" s="61" t="str">
        <f>IF(Inv!I47=0,"",Inv!I47)</f>
        <v/>
      </c>
    </row>
    <row r="12" spans="2:9" ht="14.25">
      <c r="B12" s="48" t="str">
        <f>+Textes!A104</f>
        <v>Datum</v>
      </c>
      <c r="C12" s="49" t="str">
        <f>+Textes!A105</f>
        <v>kg Futter</v>
      </c>
      <c r="D12" s="48" t="str">
        <f t="shared" ref="D12:I12" si="0">+B12</f>
        <v>Datum</v>
      </c>
      <c r="E12" s="49" t="str">
        <f t="shared" si="0"/>
        <v>kg Futter</v>
      </c>
      <c r="F12" s="48" t="str">
        <f t="shared" si="0"/>
        <v>Datum</v>
      </c>
      <c r="G12" s="49" t="str">
        <f t="shared" si="0"/>
        <v>kg Futter</v>
      </c>
      <c r="H12" s="33" t="str">
        <f t="shared" si="0"/>
        <v>Datum</v>
      </c>
      <c r="I12" s="34" t="str">
        <f t="shared" si="0"/>
        <v>kg Futter</v>
      </c>
    </row>
    <row r="13" spans="2:9" s="9" customFormat="1" ht="15" hidden="1" customHeight="1">
      <c r="B13" s="269"/>
      <c r="C13" s="266"/>
      <c r="D13" s="269"/>
      <c r="E13" s="266"/>
      <c r="F13" s="269"/>
      <c r="G13" s="266"/>
      <c r="H13" s="269"/>
      <c r="I13" s="266"/>
    </row>
    <row r="14" spans="2:9" s="9" customFormat="1" ht="15" customHeight="1">
      <c r="B14" s="269"/>
      <c r="C14" s="266"/>
      <c r="D14" s="269"/>
      <c r="E14" s="266"/>
      <c r="F14" s="269"/>
      <c r="G14" s="266"/>
      <c r="H14" s="269"/>
      <c r="I14" s="266"/>
    </row>
    <row r="15" spans="2:9" s="9" customFormat="1" ht="15" customHeight="1">
      <c r="B15" s="269"/>
      <c r="C15" s="266"/>
      <c r="D15" s="269"/>
      <c r="E15" s="266"/>
      <c r="F15" s="269"/>
      <c r="G15" s="266"/>
      <c r="H15" s="269"/>
      <c r="I15" s="266"/>
    </row>
    <row r="16" spans="2:9" s="9" customFormat="1" ht="15" customHeight="1">
      <c r="B16" s="269"/>
      <c r="C16" s="266"/>
      <c r="D16" s="269"/>
      <c r="E16" s="266"/>
      <c r="F16" s="269"/>
      <c r="G16" s="266"/>
      <c r="H16" s="269"/>
      <c r="I16" s="266"/>
    </row>
    <row r="17" spans="2:15" s="9" customFormat="1" ht="15" customHeight="1">
      <c r="B17" s="269"/>
      <c r="C17" s="266"/>
      <c r="D17" s="269"/>
      <c r="E17" s="266"/>
      <c r="F17" s="269"/>
      <c r="G17" s="266"/>
      <c r="H17" s="269"/>
      <c r="I17" s="266"/>
    </row>
    <row r="18" spans="2:15" s="9" customFormat="1" ht="15" customHeight="1">
      <c r="B18" s="269"/>
      <c r="C18" s="266"/>
      <c r="D18" s="269"/>
      <c r="E18" s="266"/>
      <c r="F18" s="269"/>
      <c r="G18" s="266"/>
      <c r="H18" s="269"/>
      <c r="I18" s="266"/>
      <c r="M18" s="6"/>
      <c r="N18" s="6"/>
      <c r="O18" s="6"/>
    </row>
    <row r="19" spans="2:15" s="9" customFormat="1" ht="15" customHeight="1">
      <c r="B19" s="269"/>
      <c r="C19" s="266"/>
      <c r="D19" s="269"/>
      <c r="E19" s="266"/>
      <c r="F19" s="269"/>
      <c r="G19" s="266"/>
      <c r="H19" s="269"/>
      <c r="I19" s="266"/>
      <c r="M19" s="6"/>
      <c r="N19" s="6"/>
      <c r="O19" s="6"/>
    </row>
    <row r="20" spans="2:15" s="9" customFormat="1" ht="15" customHeight="1">
      <c r="B20" s="269"/>
      <c r="C20" s="266"/>
      <c r="D20" s="269"/>
      <c r="E20" s="266"/>
      <c r="F20" s="269"/>
      <c r="G20" s="266"/>
      <c r="H20" s="269"/>
      <c r="I20" s="266"/>
      <c r="M20" s="6"/>
      <c r="N20" s="6"/>
      <c r="O20" s="6"/>
    </row>
    <row r="21" spans="2:15" s="9" customFormat="1" ht="15" customHeight="1">
      <c r="B21" s="269"/>
      <c r="C21" s="266"/>
      <c r="D21" s="269"/>
      <c r="E21" s="266"/>
      <c r="F21" s="269"/>
      <c r="G21" s="266"/>
      <c r="H21" s="269"/>
      <c r="I21" s="266"/>
      <c r="M21" s="6"/>
      <c r="N21" s="6"/>
      <c r="O21" s="6"/>
    </row>
    <row r="22" spans="2:15" s="9" customFormat="1" ht="15" customHeight="1">
      <c r="B22" s="269"/>
      <c r="C22" s="266"/>
      <c r="D22" s="269"/>
      <c r="E22" s="266"/>
      <c r="F22" s="269"/>
      <c r="G22" s="266"/>
      <c r="H22" s="269"/>
      <c r="I22" s="266"/>
      <c r="M22" s="6"/>
      <c r="N22" s="6"/>
      <c r="O22" s="6"/>
    </row>
    <row r="23" spans="2:15" s="9" customFormat="1" ht="15" customHeight="1">
      <c r="B23" s="269"/>
      <c r="C23" s="266"/>
      <c r="D23" s="269"/>
      <c r="E23" s="266"/>
      <c r="F23" s="269"/>
      <c r="G23" s="266"/>
      <c r="H23" s="269"/>
      <c r="I23" s="266"/>
      <c r="M23" s="6"/>
      <c r="N23" s="6"/>
      <c r="O23" s="6"/>
    </row>
    <row r="24" spans="2:15" s="9" customFormat="1" ht="15" customHeight="1">
      <c r="B24" s="269"/>
      <c r="C24" s="266"/>
      <c r="D24" s="269"/>
      <c r="E24" s="266"/>
      <c r="F24" s="269"/>
      <c r="G24" s="266"/>
      <c r="H24" s="269"/>
      <c r="I24" s="266"/>
      <c r="M24" s="6"/>
      <c r="N24" s="6"/>
      <c r="O24" s="6"/>
    </row>
    <row r="25" spans="2:15" s="9" customFormat="1" ht="15" customHeight="1">
      <c r="B25" s="269"/>
      <c r="C25" s="266"/>
      <c r="D25" s="269"/>
      <c r="E25" s="266"/>
      <c r="F25" s="269"/>
      <c r="G25" s="266"/>
      <c r="H25" s="269"/>
      <c r="I25" s="266"/>
      <c r="M25" s="6"/>
      <c r="N25" s="6"/>
      <c r="O25" s="6"/>
    </row>
    <row r="26" spans="2:15" s="9" customFormat="1" ht="15" customHeight="1">
      <c r="B26" s="269"/>
      <c r="C26" s="266"/>
      <c r="D26" s="269"/>
      <c r="E26" s="266"/>
      <c r="F26" s="269"/>
      <c r="G26" s="266"/>
      <c r="H26" s="269"/>
      <c r="I26" s="266"/>
      <c r="M26" s="6"/>
      <c r="N26" s="6"/>
      <c r="O26" s="6"/>
    </row>
    <row r="27" spans="2:15" s="9" customFormat="1" ht="15" customHeight="1">
      <c r="B27" s="269"/>
      <c r="C27" s="266"/>
      <c r="D27" s="269"/>
      <c r="E27" s="266"/>
      <c r="F27" s="269"/>
      <c r="G27" s="266"/>
      <c r="H27" s="269"/>
      <c r="I27" s="266"/>
      <c r="M27" s="6"/>
      <c r="N27" s="6"/>
      <c r="O27" s="6"/>
    </row>
    <row r="28" spans="2:15" s="9" customFormat="1" ht="15" customHeight="1">
      <c r="B28" s="269"/>
      <c r="C28" s="266"/>
      <c r="D28" s="269"/>
      <c r="E28" s="266"/>
      <c r="F28" s="269"/>
      <c r="G28" s="266"/>
      <c r="H28" s="269"/>
      <c r="I28" s="266"/>
      <c r="M28" s="6"/>
      <c r="N28" s="6"/>
      <c r="O28" s="6"/>
    </row>
    <row r="29" spans="2:15" s="9" customFormat="1" ht="15" customHeight="1">
      <c r="B29" s="269"/>
      <c r="C29" s="266"/>
      <c r="D29" s="269"/>
      <c r="E29" s="266"/>
      <c r="F29" s="269"/>
      <c r="G29" s="266"/>
      <c r="H29" s="269"/>
      <c r="I29" s="266"/>
      <c r="M29" s="6"/>
      <c r="N29" s="6"/>
      <c r="O29" s="6"/>
    </row>
    <row r="30" spans="2:15" s="9" customFormat="1" ht="15" customHeight="1">
      <c r="B30" s="269"/>
      <c r="C30" s="266"/>
      <c r="D30" s="269"/>
      <c r="E30" s="266"/>
      <c r="F30" s="269"/>
      <c r="G30" s="266"/>
      <c r="H30" s="269"/>
      <c r="I30" s="266"/>
      <c r="M30" s="6"/>
      <c r="N30" s="6"/>
      <c r="O30" s="6"/>
    </row>
    <row r="31" spans="2:15" s="9" customFormat="1" ht="15" customHeight="1">
      <c r="B31" s="269"/>
      <c r="C31" s="266"/>
      <c r="D31" s="269"/>
      <c r="E31" s="266"/>
      <c r="F31" s="269"/>
      <c r="G31" s="266"/>
      <c r="H31" s="269"/>
      <c r="I31" s="266"/>
      <c r="M31" s="6"/>
      <c r="N31" s="6"/>
      <c r="O31" s="6"/>
    </row>
    <row r="32" spans="2:15" s="9" customFormat="1" ht="15" customHeight="1">
      <c r="B32" s="269"/>
      <c r="C32" s="266"/>
      <c r="D32" s="269"/>
      <c r="E32" s="266"/>
      <c r="F32" s="269"/>
      <c r="G32" s="266"/>
      <c r="H32" s="269"/>
      <c r="I32" s="266"/>
      <c r="M32" s="6"/>
      <c r="N32" s="6"/>
      <c r="O32" s="6"/>
    </row>
    <row r="33" spans="2:15" s="9" customFormat="1" ht="15" customHeight="1">
      <c r="B33" s="269"/>
      <c r="C33" s="266"/>
      <c r="D33" s="269"/>
      <c r="E33" s="266"/>
      <c r="F33" s="269"/>
      <c r="G33" s="266"/>
      <c r="H33" s="269"/>
      <c r="I33" s="266"/>
      <c r="M33" s="6"/>
      <c r="N33" s="6"/>
      <c r="O33" s="6"/>
    </row>
    <row r="34" spans="2:15" s="9" customFormat="1" ht="15" customHeight="1">
      <c r="B34" s="269"/>
      <c r="C34" s="266"/>
      <c r="D34" s="269"/>
      <c r="E34" s="266"/>
      <c r="F34" s="269"/>
      <c r="G34" s="266"/>
      <c r="H34" s="269"/>
      <c r="I34" s="266"/>
      <c r="M34" s="6"/>
      <c r="N34" s="6"/>
      <c r="O34" s="6"/>
    </row>
    <row r="35" spans="2:15" s="9" customFormat="1" ht="15" customHeight="1">
      <c r="B35" s="269"/>
      <c r="C35" s="266"/>
      <c r="D35" s="269"/>
      <c r="E35" s="266"/>
      <c r="F35" s="269"/>
      <c r="G35" s="266"/>
      <c r="H35" s="269"/>
      <c r="I35" s="266"/>
      <c r="M35" s="6"/>
      <c r="N35" s="6"/>
      <c r="O35" s="6"/>
    </row>
    <row r="36" spans="2:15" s="9" customFormat="1" ht="15" customHeight="1">
      <c r="B36" s="269"/>
      <c r="C36" s="266"/>
      <c r="D36" s="269"/>
      <c r="E36" s="266"/>
      <c r="F36" s="269"/>
      <c r="G36" s="266"/>
      <c r="H36" s="269"/>
      <c r="I36" s="266"/>
      <c r="M36" s="6"/>
      <c r="N36" s="6"/>
      <c r="O36" s="6"/>
    </row>
    <row r="37" spans="2:15" s="9" customFormat="1" ht="15" customHeight="1">
      <c r="B37" s="269"/>
      <c r="C37" s="266"/>
      <c r="D37" s="269"/>
      <c r="E37" s="266"/>
      <c r="F37" s="269"/>
      <c r="G37" s="266"/>
      <c r="H37" s="269"/>
      <c r="I37" s="266"/>
      <c r="M37" s="6"/>
      <c r="N37" s="6"/>
      <c r="O37" s="6"/>
    </row>
    <row r="38" spans="2:15" s="9" customFormat="1" ht="15" customHeight="1">
      <c r="B38" s="269"/>
      <c r="C38" s="266"/>
      <c r="D38" s="269"/>
      <c r="E38" s="266"/>
      <c r="F38" s="269"/>
      <c r="G38" s="266"/>
      <c r="H38" s="269"/>
      <c r="I38" s="266"/>
      <c r="M38" s="6"/>
      <c r="N38" s="6"/>
      <c r="O38" s="6"/>
    </row>
    <row r="39" spans="2:15" s="9" customFormat="1" ht="15" customHeight="1">
      <c r="B39" s="269"/>
      <c r="C39" s="266"/>
      <c r="D39" s="269"/>
      <c r="E39" s="266"/>
      <c r="F39" s="269"/>
      <c r="G39" s="266"/>
      <c r="H39" s="269"/>
      <c r="I39" s="266"/>
      <c r="M39" s="6"/>
      <c r="N39" s="6"/>
      <c r="O39" s="6"/>
    </row>
    <row r="40" spans="2:15" s="9" customFormat="1" ht="15" customHeight="1">
      <c r="B40" s="269"/>
      <c r="C40" s="266"/>
      <c r="D40" s="269"/>
      <c r="E40" s="266"/>
      <c r="F40" s="269"/>
      <c r="G40" s="266"/>
      <c r="H40" s="269"/>
      <c r="I40" s="266"/>
      <c r="M40" s="6"/>
      <c r="N40" s="6"/>
      <c r="O40" s="6"/>
    </row>
    <row r="41" spans="2:15" s="9" customFormat="1" ht="15" customHeight="1">
      <c r="B41" s="269"/>
      <c r="C41" s="266"/>
      <c r="D41" s="269"/>
      <c r="E41" s="266"/>
      <c r="F41" s="269"/>
      <c r="G41" s="266"/>
      <c r="H41" s="269"/>
      <c r="I41" s="266"/>
      <c r="M41" s="6"/>
      <c r="N41" s="6"/>
      <c r="O41" s="6"/>
    </row>
    <row r="42" spans="2:15" s="9" customFormat="1" ht="15" customHeight="1">
      <c r="B42" s="269"/>
      <c r="C42" s="266"/>
      <c r="D42" s="269"/>
      <c r="E42" s="266"/>
      <c r="F42" s="269"/>
      <c r="G42" s="266"/>
      <c r="H42" s="269"/>
      <c r="I42" s="266"/>
      <c r="M42" s="6"/>
      <c r="N42" s="6"/>
      <c r="O42" s="6"/>
    </row>
    <row r="43" spans="2:15" s="9" customFormat="1" ht="15" customHeight="1">
      <c r="B43" s="269"/>
      <c r="C43" s="266"/>
      <c r="D43" s="269"/>
      <c r="E43" s="266"/>
      <c r="F43" s="269"/>
      <c r="G43" s="266"/>
      <c r="H43" s="269"/>
      <c r="I43" s="266"/>
      <c r="M43" s="6"/>
      <c r="N43" s="6"/>
      <c r="O43" s="6"/>
    </row>
    <row r="44" spans="2:15" s="9" customFormat="1" ht="15" customHeight="1">
      <c r="B44" s="269"/>
      <c r="C44" s="266"/>
      <c r="D44" s="269"/>
      <c r="E44" s="266"/>
      <c r="F44" s="269"/>
      <c r="G44" s="266"/>
      <c r="H44" s="269"/>
      <c r="I44" s="266"/>
      <c r="M44" s="6"/>
      <c r="N44" s="6"/>
      <c r="O44" s="6"/>
    </row>
    <row r="45" spans="2:15" s="9" customFormat="1" ht="15" customHeight="1">
      <c r="B45" s="269"/>
      <c r="C45" s="266"/>
      <c r="D45" s="269"/>
      <c r="E45" s="266"/>
      <c r="F45" s="269"/>
      <c r="G45" s="266"/>
      <c r="H45" s="269"/>
      <c r="I45" s="266"/>
      <c r="M45" s="6"/>
      <c r="N45" s="6"/>
      <c r="O45" s="6"/>
    </row>
    <row r="46" spans="2:15" s="9" customFormat="1" ht="15" customHeight="1">
      <c r="B46" s="269"/>
      <c r="C46" s="266"/>
      <c r="D46" s="269"/>
      <c r="E46" s="266"/>
      <c r="F46" s="269"/>
      <c r="G46" s="266"/>
      <c r="H46" s="269"/>
      <c r="I46" s="266"/>
      <c r="M46" s="6"/>
      <c r="N46" s="6"/>
      <c r="O46" s="6"/>
    </row>
    <row r="47" spans="2:15" s="9" customFormat="1" ht="15" customHeight="1">
      <c r="B47" s="269"/>
      <c r="C47" s="266"/>
      <c r="D47" s="269"/>
      <c r="E47" s="266"/>
      <c r="F47" s="269"/>
      <c r="G47" s="266"/>
      <c r="H47" s="269"/>
      <c r="I47" s="266"/>
      <c r="M47" s="6"/>
      <c r="N47" s="6"/>
      <c r="O47" s="6"/>
    </row>
    <row r="48" spans="2:15" s="9" customFormat="1" ht="15" customHeight="1">
      <c r="B48" s="269"/>
      <c r="C48" s="266"/>
      <c r="D48" s="269"/>
      <c r="E48" s="266"/>
      <c r="F48" s="269"/>
      <c r="G48" s="266"/>
      <c r="H48" s="269"/>
      <c r="I48" s="266"/>
      <c r="M48" s="6"/>
      <c r="N48" s="6"/>
      <c r="O48" s="6"/>
    </row>
    <row r="49" spans="1:15" s="9" customFormat="1" ht="15" customHeight="1">
      <c r="B49" s="269"/>
      <c r="C49" s="266"/>
      <c r="D49" s="269"/>
      <c r="E49" s="266"/>
      <c r="F49" s="269"/>
      <c r="G49" s="266"/>
      <c r="H49" s="269"/>
      <c r="I49" s="266"/>
      <c r="M49" s="6"/>
      <c r="N49" s="6"/>
      <c r="O49" s="6"/>
    </row>
    <row r="50" spans="1:15" s="9" customFormat="1" ht="15" customHeight="1">
      <c r="B50" s="269"/>
      <c r="C50" s="266"/>
      <c r="D50" s="269"/>
      <c r="E50" s="266"/>
      <c r="F50" s="269"/>
      <c r="G50" s="266"/>
      <c r="H50" s="269"/>
      <c r="I50" s="266"/>
      <c r="M50" s="6"/>
      <c r="N50" s="6"/>
      <c r="O50" s="6"/>
    </row>
    <row r="51" spans="1:15" s="9" customFormat="1" ht="15" customHeight="1">
      <c r="B51" s="269"/>
      <c r="C51" s="266"/>
      <c r="D51" s="269"/>
      <c r="E51" s="266"/>
      <c r="F51" s="269"/>
      <c r="G51" s="266"/>
      <c r="H51" s="269"/>
      <c r="I51" s="266"/>
      <c r="M51" s="6"/>
      <c r="N51" s="6"/>
      <c r="O51" s="6"/>
    </row>
    <row r="52" spans="1:15" s="9" customFormat="1" ht="15" customHeight="1">
      <c r="B52" s="269"/>
      <c r="C52" s="266"/>
      <c r="D52" s="269"/>
      <c r="E52" s="266"/>
      <c r="F52" s="269"/>
      <c r="G52" s="266"/>
      <c r="H52" s="269"/>
      <c r="I52" s="266"/>
      <c r="M52" s="6"/>
      <c r="N52" s="6"/>
      <c r="O52" s="6"/>
    </row>
    <row r="53" spans="1:15" s="9" customFormat="1" ht="15" customHeight="1">
      <c r="B53" s="269"/>
      <c r="C53" s="266"/>
      <c r="D53" s="269"/>
      <c r="E53" s="266"/>
      <c r="F53" s="269"/>
      <c r="G53" s="266"/>
      <c r="H53" s="269"/>
      <c r="I53" s="266"/>
      <c r="M53" s="6"/>
      <c r="N53" s="6"/>
      <c r="O53" s="6"/>
    </row>
    <row r="54" spans="1:15" s="9" customFormat="1" ht="15" customHeight="1">
      <c r="B54" s="269"/>
      <c r="C54" s="266"/>
      <c r="D54" s="269"/>
      <c r="E54" s="266"/>
      <c r="F54" s="269"/>
      <c r="G54" s="266"/>
      <c r="H54" s="269"/>
      <c r="I54" s="266"/>
      <c r="M54" s="6"/>
      <c r="N54" s="6"/>
      <c r="O54" s="6"/>
    </row>
    <row r="55" spans="1:15" s="9" customFormat="1" ht="15" customHeight="1">
      <c r="B55" s="269"/>
      <c r="C55" s="266"/>
      <c r="D55" s="269"/>
      <c r="E55" s="266"/>
      <c r="F55" s="269"/>
      <c r="G55" s="266"/>
      <c r="H55" s="269"/>
      <c r="I55" s="266"/>
      <c r="M55" s="6"/>
      <c r="N55" s="6"/>
      <c r="O55" s="6"/>
    </row>
    <row r="56" spans="1:15" s="9" customFormat="1" ht="15" customHeight="1">
      <c r="B56" s="269"/>
      <c r="C56" s="266"/>
      <c r="D56" s="269"/>
      <c r="E56" s="266"/>
      <c r="F56" s="269"/>
      <c r="G56" s="266"/>
      <c r="H56" s="269"/>
      <c r="I56" s="266"/>
      <c r="M56" s="6"/>
      <c r="N56" s="6"/>
      <c r="O56" s="6"/>
    </row>
    <row r="57" spans="1:15" s="9" customFormat="1" ht="15" customHeight="1">
      <c r="B57" s="269"/>
      <c r="C57" s="266"/>
      <c r="D57" s="269"/>
      <c r="E57" s="266"/>
      <c r="F57" s="269"/>
      <c r="G57" s="266"/>
      <c r="H57" s="269"/>
      <c r="I57" s="266"/>
      <c r="M57" s="6"/>
      <c r="N57" s="6"/>
      <c r="O57" s="6"/>
    </row>
    <row r="58" spans="1:15" s="3" customFormat="1" ht="14.25">
      <c r="B58" s="27" t="str">
        <f>+Textes!A106</f>
        <v>Total Zufuhr</v>
      </c>
      <c r="C58" s="271">
        <f>IF(SUM(C13:C57)=0,0,SUM(C13:C57))</f>
        <v>0</v>
      </c>
      <c r="D58" s="27" t="str">
        <f>+B58</f>
        <v>Total Zufuhr</v>
      </c>
      <c r="E58" s="273">
        <f>IF(SUM(E13:E57)=0,0,SUM(E13:E57))</f>
        <v>0</v>
      </c>
      <c r="F58" s="27" t="str">
        <f>+D58</f>
        <v>Total Zufuhr</v>
      </c>
      <c r="G58" s="273">
        <f>IF(SUM(G13:G57)=0,0,SUM(G13:G57))</f>
        <v>0</v>
      </c>
      <c r="H58" s="27" t="str">
        <f>+F58</f>
        <v>Total Zufuhr</v>
      </c>
      <c r="I58" s="271">
        <f>IF(SUM(I13:I57)=0,0,SUM(I13:I57))</f>
        <v>0</v>
      </c>
      <c r="L58" s="9"/>
      <c r="M58" s="6"/>
      <c r="N58" s="6"/>
      <c r="O58" s="6"/>
    </row>
    <row r="59" spans="1:15" s="3" customFormat="1" ht="3" customHeight="1">
      <c r="B59" s="6"/>
      <c r="C59" s="6"/>
      <c r="D59" s="6"/>
      <c r="E59" s="6"/>
      <c r="F59" s="6"/>
      <c r="G59" s="6"/>
      <c r="H59" s="6"/>
      <c r="I59" s="6"/>
      <c r="M59" s="6"/>
      <c r="N59" s="6"/>
      <c r="O59" s="6"/>
    </row>
    <row r="60" spans="1:15" ht="18" customHeight="1">
      <c r="B60" s="6" t="str">
        <f>+Textes!A109</f>
        <v>Es müssen alle eingesetzten Futtermittel erfasst werden.</v>
      </c>
      <c r="C60" s="6"/>
      <c r="D60" s="6"/>
      <c r="E60" s="6"/>
      <c r="F60" s="6"/>
      <c r="G60" s="6"/>
      <c r="H60" s="6"/>
      <c r="L60" s="3"/>
    </row>
    <row r="61" spans="1:15" s="3" customFormat="1" ht="4.5" customHeight="1">
      <c r="A61" s="1"/>
      <c r="J61" s="1"/>
      <c r="L61" s="1"/>
      <c r="M61" s="6"/>
      <c r="N61" s="6"/>
      <c r="O61" s="6"/>
    </row>
    <row r="62" spans="1:15" ht="21" customHeight="1">
      <c r="A62" s="3"/>
      <c r="B62" s="29" t="str">
        <f>+Inv!B80</f>
        <v>Kantonale Kontrollstelle, Datum:</v>
      </c>
      <c r="C62" s="30"/>
      <c r="D62" s="30"/>
      <c r="E62" s="30"/>
      <c r="F62" s="30" t="str">
        <f>+Inv!H80</f>
        <v>Unterschrift:</v>
      </c>
      <c r="G62" s="30"/>
      <c r="H62" s="30"/>
      <c r="I62" s="31"/>
      <c r="J62" s="3"/>
      <c r="L62" s="3"/>
    </row>
    <row r="63" spans="1:15" ht="4.5" customHeight="1"/>
    <row r="64" spans="1:15" ht="21" customHeight="1">
      <c r="B64" s="29" t="str">
        <f>+Inv!B82</f>
        <v>Betriebsleiter, Datum:</v>
      </c>
      <c r="C64" s="30"/>
      <c r="D64" s="30"/>
      <c r="E64" s="30"/>
      <c r="F64" s="30" t="str">
        <f>+Inv!H82</f>
        <v>Unterschrift:</v>
      </c>
      <c r="G64" s="30"/>
      <c r="H64" s="30"/>
      <c r="I64" s="31"/>
    </row>
    <row r="65" spans="6:7" ht="6" customHeight="1">
      <c r="F65" s="10"/>
      <c r="G65" s="10"/>
    </row>
  </sheetData>
  <phoneticPr fontId="59" type="noConversion"/>
  <pageMargins left="0.59055118110236227" right="0.39370078740157483" top="0.39370078740157483" bottom="0.32" header="0.11811023622047245" footer="0.11811023622047245"/>
  <pageSetup paperSize="9" scale="84" orientation="portrait" r:id="rId1"/>
  <headerFooter alignWithMargins="0">
    <oddFooter>&amp;C&amp;9&amp;F&amp;L&amp;"Arial,Fett"&amp;11AGRIDEA &amp;"Arial,Standard"&amp;9Impex, Version 2.6&amp;R&amp;"Arial,Standard"&amp;9&amp;D / 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B1:G75"/>
  <sheetViews>
    <sheetView showRowColHeaders="0" showZeros="0" workbookViewId="0"/>
  </sheetViews>
  <sheetFormatPr baseColWidth="10" defaultRowHeight="12.75"/>
  <cols>
    <col min="1" max="1" width="1.7109375" customWidth="1"/>
    <col min="2" max="2" width="15.7109375" customWidth="1"/>
    <col min="3" max="3" width="8.7109375" customWidth="1"/>
    <col min="4" max="4" width="12.7109375" customWidth="1"/>
    <col min="5" max="5" width="2.7109375" customWidth="1"/>
    <col min="6" max="6" width="35.7109375" customWidth="1"/>
    <col min="7" max="7" width="8.140625" customWidth="1"/>
    <col min="8" max="8" width="3.5703125" customWidth="1"/>
  </cols>
  <sheetData>
    <row r="1" spans="2:7" ht="8.25" customHeight="1"/>
    <row r="2" spans="2:7" ht="30.75" customHeight="1">
      <c r="B2" s="582"/>
      <c r="G2" s="598" t="s">
        <v>400</v>
      </c>
    </row>
    <row r="3" spans="2:7" ht="9" customHeight="1">
      <c r="B3" s="582"/>
      <c r="G3" s="583"/>
    </row>
    <row r="4" spans="2:7" ht="27" customHeight="1"/>
    <row r="5" spans="2:7" ht="15" customHeight="1">
      <c r="B5" s="584" t="str">
        <f>Textes!A341</f>
        <v>Betriebs-Nr:</v>
      </c>
      <c r="D5">
        <f>Inv!StartZelle</f>
        <v>0</v>
      </c>
    </row>
    <row r="6" spans="2:7" ht="15">
      <c r="B6" s="584" t="str">
        <f>Textes!A342</f>
        <v>Betrieb:</v>
      </c>
      <c r="D6" s="603" t="str">
        <f>Inv!D6&amp;" "&amp;Inv!D5</f>
        <v xml:space="preserve"> </v>
      </c>
      <c r="E6" s="602"/>
      <c r="F6" s="602"/>
      <c r="G6" s="602"/>
    </row>
    <row r="7" spans="2:7" ht="15">
      <c r="B7" s="584" t="str">
        <f>Textes!A343</f>
        <v>Adresse:</v>
      </c>
      <c r="D7" s="603">
        <f>Inv!D7</f>
        <v>0</v>
      </c>
      <c r="E7" s="604"/>
      <c r="F7" s="602"/>
      <c r="G7" s="602"/>
    </row>
    <row r="8" spans="2:7" ht="15">
      <c r="B8" s="584" t="str">
        <f>Textes!A344</f>
        <v>PLZ, Ort:</v>
      </c>
      <c r="D8" s="603">
        <f>Inv!D9</f>
        <v>0</v>
      </c>
      <c r="E8" s="602"/>
      <c r="F8" s="602"/>
      <c r="G8" s="602"/>
    </row>
    <row r="9" spans="2:7" ht="15">
      <c r="B9" s="584"/>
      <c r="D9" s="603"/>
      <c r="E9" s="602"/>
      <c r="F9" s="602"/>
      <c r="G9" s="602"/>
    </row>
    <row r="10" spans="2:7" ht="15">
      <c r="B10" s="584" t="str">
        <f>Textes!A345</f>
        <v>Berechnet durch:</v>
      </c>
      <c r="D10" s="603">
        <f>Inv!I4</f>
        <v>0</v>
      </c>
      <c r="E10" s="602"/>
      <c r="F10" s="602"/>
      <c r="G10" s="602"/>
    </row>
    <row r="11" spans="2:7" ht="15">
      <c r="B11" s="584" t="str">
        <f>Textes!A346</f>
        <v>Firma:</v>
      </c>
      <c r="D11" s="605">
        <f>Inv!I7</f>
        <v>0</v>
      </c>
      <c r="E11" s="602"/>
      <c r="F11" s="602"/>
      <c r="G11" s="602"/>
    </row>
    <row r="12" spans="2:7" ht="15">
      <c r="B12" s="584" t="str">
        <f>Textes!A347</f>
        <v>Telefon-Nr:</v>
      </c>
      <c r="D12" s="603">
        <f>Inv!J5</f>
        <v>0</v>
      </c>
      <c r="E12" s="602"/>
      <c r="F12" s="602"/>
      <c r="G12" s="602"/>
    </row>
    <row r="13" spans="2:7" ht="15">
      <c r="B13" s="584"/>
      <c r="D13" s="603"/>
      <c r="E13" s="602"/>
      <c r="F13" s="602"/>
      <c r="G13" s="602"/>
    </row>
    <row r="14" spans="2:7" ht="15">
      <c r="B14" s="584" t="str">
        <f>Textes!A348</f>
        <v>Periode:</v>
      </c>
      <c r="D14" s="605">
        <f>Inv!DatumAnfang</f>
        <v>0</v>
      </c>
      <c r="E14" s="602" t="s">
        <v>153</v>
      </c>
      <c r="F14" s="605">
        <f>Inv!DatumEnde</f>
        <v>0</v>
      </c>
      <c r="G14" s="602"/>
    </row>
    <row r="15" spans="2:7" ht="20.25" customHeight="1"/>
    <row r="16" spans="2:7" ht="15">
      <c r="B16" s="584" t="str">
        <f>Textes!A340</f>
        <v>Inhaltsverzeichnis</v>
      </c>
      <c r="G16" s="585" t="str">
        <f>Q!Seite</f>
        <v>Seite</v>
      </c>
    </row>
    <row r="17" spans="2:7" ht="13.5" customHeight="1">
      <c r="B17" s="584"/>
      <c r="G17" s="585"/>
    </row>
    <row r="18" spans="2:7" ht="14.25">
      <c r="D18" s="602" t="str">
        <f>Textes!A340</f>
        <v>Inhaltsverzeichnis</v>
      </c>
      <c r="E18" s="602"/>
      <c r="F18" s="602"/>
      <c r="G18" s="602">
        <v>1</v>
      </c>
    </row>
    <row r="19" spans="2:7" ht="14.25">
      <c r="D19" s="587" t="s">
        <v>143</v>
      </c>
      <c r="E19" s="602"/>
      <c r="F19" s="602"/>
      <c r="G19" s="587">
        <v>2</v>
      </c>
    </row>
    <row r="20" spans="2:7" ht="14.25">
      <c r="D20" s="587" t="s">
        <v>487</v>
      </c>
      <c r="E20" s="602"/>
      <c r="F20" s="602"/>
      <c r="G20" s="587">
        <v>3</v>
      </c>
    </row>
    <row r="21" spans="2:7" ht="14.25">
      <c r="D21" s="587" t="s">
        <v>301</v>
      </c>
      <c r="E21" s="602"/>
      <c r="F21" s="602"/>
      <c r="G21" s="587">
        <v>5</v>
      </c>
    </row>
    <row r="22" spans="2:7" ht="14.25">
      <c r="D22" s="587" t="s">
        <v>302</v>
      </c>
      <c r="E22" s="602"/>
      <c r="F22" s="602"/>
      <c r="G22" s="587">
        <v>6</v>
      </c>
    </row>
    <row r="23" spans="2:7" ht="14.25">
      <c r="D23" s="587" t="s">
        <v>304</v>
      </c>
      <c r="E23" s="602"/>
      <c r="F23" s="602"/>
      <c r="G23" s="587">
        <v>7</v>
      </c>
    </row>
    <row r="24" spans="2:7" ht="14.25">
      <c r="D24" s="587" t="s">
        <v>305</v>
      </c>
      <c r="E24" s="602"/>
      <c r="F24" s="602"/>
      <c r="G24" s="587">
        <v>8</v>
      </c>
    </row>
    <row r="25" spans="2:7" ht="14.25">
      <c r="D25" s="587" t="s">
        <v>306</v>
      </c>
      <c r="E25" s="602"/>
      <c r="F25" s="602"/>
      <c r="G25" s="587">
        <v>9</v>
      </c>
    </row>
    <row r="26" spans="2:7" ht="14.25">
      <c r="D26" s="587" t="s">
        <v>307</v>
      </c>
      <c r="E26" s="602"/>
      <c r="F26" s="602"/>
      <c r="G26" s="587">
        <v>10</v>
      </c>
    </row>
    <row r="27" spans="2:7" ht="14.25">
      <c r="D27" s="587" t="s">
        <v>308</v>
      </c>
      <c r="E27" s="602"/>
      <c r="F27" s="602"/>
      <c r="G27" s="587">
        <v>11</v>
      </c>
    </row>
    <row r="28" spans="2:7" ht="14.25">
      <c r="D28" s="587" t="s">
        <v>309</v>
      </c>
      <c r="E28" s="602"/>
      <c r="F28" s="602"/>
      <c r="G28" s="587">
        <v>12</v>
      </c>
    </row>
    <row r="29" spans="2:7" ht="14.25">
      <c r="D29" s="587" t="s">
        <v>310</v>
      </c>
      <c r="E29" s="602"/>
      <c r="F29" s="602"/>
      <c r="G29" s="587">
        <v>13</v>
      </c>
    </row>
    <row r="30" spans="2:7" ht="14.25">
      <c r="D30" s="587" t="s">
        <v>311</v>
      </c>
      <c r="E30" s="602"/>
      <c r="F30" s="602"/>
      <c r="G30" s="587">
        <v>14</v>
      </c>
    </row>
    <row r="31" spans="2:7" ht="14.25">
      <c r="D31" s="587" t="s">
        <v>312</v>
      </c>
      <c r="E31" s="602"/>
      <c r="F31" s="602"/>
      <c r="G31" s="587">
        <v>15</v>
      </c>
    </row>
    <row r="32" spans="2:7" ht="14.25">
      <c r="D32" s="587" t="s">
        <v>313</v>
      </c>
      <c r="E32" s="602"/>
      <c r="F32" s="602"/>
      <c r="G32" s="587">
        <v>16</v>
      </c>
    </row>
    <row r="33" spans="4:7" ht="14.25">
      <c r="D33" s="587" t="s">
        <v>314</v>
      </c>
      <c r="E33" s="602"/>
      <c r="F33" s="602"/>
      <c r="G33" s="587">
        <v>17</v>
      </c>
    </row>
    <row r="34" spans="4:7" ht="14.25">
      <c r="D34" s="587" t="s">
        <v>315</v>
      </c>
      <c r="E34" s="602"/>
      <c r="F34" s="602"/>
      <c r="G34" s="587">
        <v>18</v>
      </c>
    </row>
    <row r="35" spans="4:7" ht="14.25">
      <c r="D35" s="587" t="s">
        <v>341</v>
      </c>
      <c r="E35" s="602"/>
      <c r="F35" s="602"/>
      <c r="G35" s="587">
        <v>19</v>
      </c>
    </row>
    <row r="36" spans="4:7" ht="14.25">
      <c r="D36" s="587" t="s">
        <v>342</v>
      </c>
      <c r="E36" s="602"/>
      <c r="F36" s="602"/>
      <c r="G36" s="587">
        <v>20</v>
      </c>
    </row>
    <row r="37" spans="4:7" ht="14.25">
      <c r="D37" s="587" t="s">
        <v>343</v>
      </c>
      <c r="E37" s="602"/>
      <c r="F37" s="602"/>
      <c r="G37" s="587">
        <v>21</v>
      </c>
    </row>
    <row r="38" spans="4:7" ht="14.25">
      <c r="D38" s="587" t="s">
        <v>345</v>
      </c>
      <c r="E38" s="602"/>
      <c r="F38" s="602"/>
      <c r="G38" s="587">
        <v>22</v>
      </c>
    </row>
    <row r="39" spans="4:7" ht="14.25">
      <c r="D39" s="587" t="s">
        <v>316</v>
      </c>
      <c r="E39" s="602"/>
      <c r="F39" s="602"/>
      <c r="G39" s="587">
        <v>23</v>
      </c>
    </row>
    <row r="40" spans="4:7" ht="14.25">
      <c r="D40" s="587" t="s">
        <v>346</v>
      </c>
      <c r="E40" s="602"/>
      <c r="F40" s="602"/>
      <c r="G40" s="587">
        <v>24</v>
      </c>
    </row>
    <row r="41" spans="4:7" ht="14.25">
      <c r="D41" s="587" t="s">
        <v>317</v>
      </c>
      <c r="E41" s="602"/>
      <c r="F41" s="602"/>
      <c r="G41" s="587">
        <v>25</v>
      </c>
    </row>
    <row r="42" spans="4:7" ht="14.25">
      <c r="D42" s="587" t="s">
        <v>620</v>
      </c>
      <c r="E42" s="602"/>
      <c r="F42" s="602"/>
      <c r="G42" s="587">
        <v>26</v>
      </c>
    </row>
    <row r="43" spans="4:7" ht="14.25">
      <c r="D43" s="587" t="s">
        <v>723</v>
      </c>
      <c r="E43" s="602"/>
      <c r="F43" s="602"/>
      <c r="G43" s="587">
        <v>28</v>
      </c>
    </row>
    <row r="44" spans="4:7" ht="14.25">
      <c r="D44" s="587" t="s">
        <v>469</v>
      </c>
      <c r="E44" s="602"/>
      <c r="F44" s="602"/>
      <c r="G44" s="587">
        <v>29</v>
      </c>
    </row>
    <row r="45" spans="4:7" ht="14.25">
      <c r="D45" s="587"/>
      <c r="E45" s="602"/>
      <c r="F45" s="602"/>
      <c r="G45" s="587"/>
    </row>
    <row r="46" spans="4:7" ht="14.25">
      <c r="D46" s="587"/>
      <c r="E46" s="602"/>
      <c r="F46" s="602"/>
      <c r="G46" s="587"/>
    </row>
    <row r="47" spans="4:7" ht="14.25">
      <c r="D47" s="587"/>
      <c r="E47" s="602"/>
      <c r="F47" s="602"/>
      <c r="G47" s="587"/>
    </row>
    <row r="48" spans="4:7" ht="14.25">
      <c r="D48" s="587"/>
      <c r="E48" s="602"/>
      <c r="F48" s="602"/>
      <c r="G48" s="587"/>
    </row>
    <row r="49" spans="4:7" ht="14.25">
      <c r="D49" s="587"/>
      <c r="E49" s="602"/>
      <c r="F49" s="602"/>
      <c r="G49" s="587"/>
    </row>
    <row r="50" spans="4:7" ht="14.25">
      <c r="D50" s="587"/>
      <c r="E50" s="602"/>
      <c r="F50" s="602"/>
      <c r="G50" s="587"/>
    </row>
    <row r="51" spans="4:7" ht="14.25">
      <c r="D51" s="587"/>
      <c r="E51" s="602"/>
      <c r="F51" s="602"/>
      <c r="G51" s="587"/>
    </row>
    <row r="52" spans="4:7" ht="14.25">
      <c r="D52" s="587"/>
      <c r="E52" s="602"/>
      <c r="F52" s="602"/>
      <c r="G52" s="587"/>
    </row>
    <row r="53" spans="4:7" ht="14.25">
      <c r="D53" s="587"/>
      <c r="E53" s="602"/>
      <c r="F53" s="602"/>
      <c r="G53" s="587"/>
    </row>
    <row r="54" spans="4:7" ht="14.25">
      <c r="D54" s="587"/>
      <c r="E54" s="602"/>
      <c r="F54" s="602"/>
      <c r="G54" s="587"/>
    </row>
    <row r="55" spans="4:7" ht="14.25">
      <c r="D55" s="587"/>
      <c r="E55" s="602"/>
      <c r="F55" s="602"/>
      <c r="G55" s="587"/>
    </row>
    <row r="56" spans="4:7" ht="14.25">
      <c r="D56" s="587"/>
      <c r="E56" s="602"/>
      <c r="F56" s="602"/>
      <c r="G56" s="587"/>
    </row>
    <row r="57" spans="4:7" ht="14.25">
      <c r="D57" s="587"/>
      <c r="E57" s="602"/>
      <c r="F57" s="602"/>
      <c r="G57" s="587"/>
    </row>
    <row r="58" spans="4:7" ht="14.25">
      <c r="D58" s="587"/>
      <c r="E58" s="602"/>
      <c r="F58" s="602"/>
      <c r="G58" s="587"/>
    </row>
    <row r="59" spans="4:7" ht="14.25">
      <c r="D59" s="587"/>
      <c r="E59" s="602"/>
      <c r="F59" s="602"/>
      <c r="G59" s="587"/>
    </row>
    <row r="60" spans="4:7" ht="14.25">
      <c r="D60" s="587"/>
      <c r="E60" s="602"/>
      <c r="F60" s="602"/>
      <c r="G60" s="587"/>
    </row>
    <row r="61" spans="4:7" ht="14.25">
      <c r="D61" s="587"/>
      <c r="E61" s="602"/>
      <c r="F61" s="602"/>
      <c r="G61" s="587"/>
    </row>
    <row r="62" spans="4:7" ht="14.25">
      <c r="D62" s="587"/>
      <c r="E62" s="602"/>
      <c r="F62" s="602"/>
      <c r="G62" s="587"/>
    </row>
    <row r="63" spans="4:7" ht="14.25">
      <c r="D63" s="587"/>
      <c r="E63" s="602"/>
      <c r="F63" s="602"/>
      <c r="G63" s="587"/>
    </row>
    <row r="64" spans="4:7" ht="14.25">
      <c r="D64" s="587"/>
      <c r="E64" s="602"/>
      <c r="F64" s="602"/>
      <c r="G64" s="587"/>
    </row>
    <row r="65" spans="4:7" ht="14.25">
      <c r="D65" s="602"/>
      <c r="E65" s="602"/>
      <c r="F65" s="602"/>
      <c r="G65" s="602"/>
    </row>
    <row r="66" spans="4:7" ht="14.25">
      <c r="D66" s="602"/>
      <c r="E66" s="602"/>
      <c r="F66" s="602"/>
      <c r="G66" s="602"/>
    </row>
    <row r="67" spans="4:7" ht="14.25">
      <c r="D67" s="602"/>
      <c r="E67" s="602"/>
      <c r="F67" s="602"/>
      <c r="G67" s="602"/>
    </row>
    <row r="68" spans="4:7" ht="14.25">
      <c r="D68" s="602"/>
      <c r="E68" s="602"/>
      <c r="F68" s="602"/>
      <c r="G68" s="602"/>
    </row>
    <row r="69" spans="4:7" ht="14.25">
      <c r="D69" s="602"/>
      <c r="E69" s="602"/>
      <c r="F69" s="602"/>
      <c r="G69" s="602"/>
    </row>
    <row r="70" spans="4:7" ht="14.25">
      <c r="D70" s="602"/>
      <c r="E70" s="602"/>
      <c r="F70" s="602"/>
      <c r="G70" s="602"/>
    </row>
    <row r="71" spans="4:7" ht="14.25">
      <c r="D71" s="602"/>
      <c r="E71" s="602"/>
      <c r="F71" s="602"/>
      <c r="G71" s="602"/>
    </row>
    <row r="72" spans="4:7" ht="14.25">
      <c r="D72" s="602"/>
      <c r="E72" s="602"/>
      <c r="F72" s="602"/>
      <c r="G72" s="602"/>
    </row>
    <row r="73" spans="4:7" ht="14.25">
      <c r="D73" s="602"/>
      <c r="E73" s="602"/>
      <c r="F73" s="602"/>
      <c r="G73" s="602"/>
    </row>
    <row r="74" spans="4:7" ht="14.25">
      <c r="D74" s="602"/>
      <c r="E74" s="602"/>
      <c r="F74" s="602"/>
      <c r="G74" s="602"/>
    </row>
    <row r="75" spans="4:7" ht="14.25">
      <c r="D75" s="602"/>
      <c r="E75" s="602"/>
      <c r="F75" s="602"/>
      <c r="G75" s="602"/>
    </row>
  </sheetData>
  <phoneticPr fontId="28" type="noConversion"/>
  <pageMargins left="0.78740157480314965" right="0.19685039370078741" top="0.59055118110236227" bottom="0.59055118110236227" header="0" footer="0.39370078740157483"/>
  <pageSetup paperSize="9" orientation="portrait" r:id="rId1"/>
  <headerFooter alignWithMargins="0">
    <oddFooter>&amp;C&amp;9&amp;F&amp;L&amp;"Arial,Fett"&amp;11AGRIDEA &amp;"Arial,Standard"&amp;9Impex, Version 2.6&amp;R&amp;"Arial,Standard"&amp;9&amp;D / Seite &amp;P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pageSetUpPr fitToPage="1"/>
  </sheetPr>
  <dimension ref="B1:I65"/>
  <sheetViews>
    <sheetView showGridLines="0" showRowColHeaders="0" workbookViewId="0">
      <selection activeCell="B14" sqref="B14"/>
    </sheetView>
  </sheetViews>
  <sheetFormatPr baseColWidth="10" defaultColWidth="11.42578125" defaultRowHeight="12.75"/>
  <cols>
    <col min="1" max="1" width="1.42578125" style="1" customWidth="1"/>
    <col min="2" max="9" width="12.5703125" style="1" customWidth="1"/>
    <col min="10" max="10" width="1.42578125" style="1" customWidth="1"/>
    <col min="11" max="16384" width="11.42578125" style="1"/>
  </cols>
  <sheetData>
    <row r="1" spans="2:9" ht="43.7" customHeight="1">
      <c r="D1" s="186" t="str">
        <f>+A2a!D1</f>
        <v>Impex:   Mastpoulets</v>
      </c>
      <c r="I1" s="187" t="str">
        <f>"BX2: "&amp;Textes!A100</f>
        <v>BX2: Mischfutterzufuhr</v>
      </c>
    </row>
    <row r="2" spans="2:9" ht="15">
      <c r="B2" s="679" t="str">
        <f>Inv!C4&amp;IF(Inv!D4=0,"",Inv!D4)</f>
        <v xml:space="preserve">Betriebs-Nr:    </v>
      </c>
      <c r="C2" s="191"/>
      <c r="D2" s="680"/>
      <c r="E2" s="681"/>
      <c r="F2" s="682" t="str">
        <f>Inv!C5&amp;IF(Inv!D5=0,"",Inv!D6&amp;" "&amp;Inv!D5)</f>
        <v xml:space="preserve">Name:    </v>
      </c>
      <c r="H2" s="110"/>
    </row>
    <row r="4" spans="2:9" ht="14.25">
      <c r="B4" s="222" t="str">
        <f>+'BX1'!B4</f>
        <v>Futterlieferant</v>
      </c>
      <c r="C4" s="223"/>
      <c r="D4" s="222" t="str">
        <f>+B4</f>
        <v>Futterlieferant</v>
      </c>
      <c r="E4" s="223"/>
      <c r="F4" s="222" t="str">
        <f>+D4</f>
        <v>Futterlieferant</v>
      </c>
      <c r="G4" s="223"/>
      <c r="H4" s="222" t="str">
        <f>+F4</f>
        <v>Futterlieferant</v>
      </c>
      <c r="I4" s="223"/>
    </row>
    <row r="5" spans="2:9" s="7" customFormat="1" ht="18">
      <c r="B5" s="226"/>
      <c r="C5" s="198"/>
      <c r="D5" s="226"/>
      <c r="E5" s="198"/>
      <c r="F5" s="226"/>
      <c r="G5" s="198"/>
      <c r="H5" s="226"/>
      <c r="I5" s="198"/>
    </row>
    <row r="6" spans="2:9" s="6" customFormat="1" ht="15">
      <c r="B6" s="232" t="str">
        <f>IF(Inv!B48=0,"",Inv!B48)</f>
        <v/>
      </c>
      <c r="C6" s="195"/>
      <c r="D6" s="232" t="str">
        <f>IF(Inv!B49=0,"",Inv!B49)</f>
        <v/>
      </c>
      <c r="E6" s="195"/>
      <c r="F6" s="232" t="str">
        <f>IF(Inv!B50=0,"",Inv!B50)</f>
        <v/>
      </c>
      <c r="G6" s="195"/>
      <c r="H6" s="232" t="str">
        <f>IF(Inv!B51=0,"",Inv!B51)</f>
        <v/>
      </c>
      <c r="I6" s="195"/>
    </row>
    <row r="7" spans="2:9" s="42" customFormat="1" ht="15">
      <c r="B7" s="112" t="str">
        <f>+Inv!F26</f>
        <v>TS in %</v>
      </c>
      <c r="C7" s="113" t="str">
        <f>IF(Inv!F48=0,"",Inv!F48)</f>
        <v/>
      </c>
      <c r="D7" s="112" t="str">
        <f>+B7</f>
        <v>TS in %</v>
      </c>
      <c r="E7" s="114" t="str">
        <f>IF(Inv!F49=0,"",Inv!F49)</f>
        <v/>
      </c>
      <c r="F7" s="112" t="str">
        <f>+D7</f>
        <v>TS in %</v>
      </c>
      <c r="G7" s="114" t="str">
        <f>IF(Inv!F50=0,"",Inv!F50)</f>
        <v/>
      </c>
      <c r="H7" s="112" t="str">
        <f>+F7</f>
        <v>TS in %</v>
      </c>
      <c r="I7" s="114" t="str">
        <f>IF(Inv!F51=0,"",Inv!F51)</f>
        <v/>
      </c>
    </row>
    <row r="8" spans="2:9" s="42" customFormat="1" ht="15">
      <c r="B8" s="196" t="str">
        <f>+'BX1'!B8</f>
        <v>pro kg Futter</v>
      </c>
      <c r="C8" s="197"/>
      <c r="D8" s="196" t="str">
        <f>+B8</f>
        <v>pro kg Futter</v>
      </c>
      <c r="E8" s="197"/>
      <c r="F8" s="196" t="str">
        <f>+D8</f>
        <v>pro kg Futter</v>
      </c>
      <c r="G8" s="197"/>
      <c r="H8" s="196" t="str">
        <f>+F8</f>
        <v>pro kg Futter</v>
      </c>
      <c r="I8" s="197"/>
    </row>
    <row r="9" spans="2:9" ht="14.25">
      <c r="B9" s="115" t="str">
        <f>'BX1'!B9</f>
        <v>MJ UEG</v>
      </c>
      <c r="C9" s="116" t="str">
        <f>IF(Inv!G48=0,"",Inv!G48)</f>
        <v/>
      </c>
      <c r="D9" s="115" t="str">
        <f>'BX1'!B9</f>
        <v>MJ UEG</v>
      </c>
      <c r="E9" s="116" t="str">
        <f>IF(Inv!G49=0,"",Inv!G49)</f>
        <v/>
      </c>
      <c r="F9" s="115" t="str">
        <f>'BX1'!B9</f>
        <v>MJ UEG</v>
      </c>
      <c r="G9" s="116" t="str">
        <f>IF(Inv!G50=0,"",Inv!G50)</f>
        <v/>
      </c>
      <c r="H9" s="115" t="str">
        <f>'BX1'!B9</f>
        <v>MJ UEG</v>
      </c>
      <c r="I9" s="116" t="str">
        <f>IF(Inv!G51=0,"",Inv!G51)</f>
        <v/>
      </c>
    </row>
    <row r="10" spans="2:9" s="8" customFormat="1" ht="14.25">
      <c r="B10" s="115" t="str">
        <f>'BX1'!B10</f>
        <v>g RP</v>
      </c>
      <c r="C10" s="111" t="str">
        <f>IF(Inv!H48=0,"",Inv!H48)</f>
        <v/>
      </c>
      <c r="D10" s="115" t="str">
        <f>'BX1'!B10</f>
        <v>g RP</v>
      </c>
      <c r="E10" s="111" t="str">
        <f>IF(Inv!H49=0,"",Inv!H49)</f>
        <v/>
      </c>
      <c r="F10" s="115" t="str">
        <f>'BX1'!B10</f>
        <v>g RP</v>
      </c>
      <c r="G10" s="111" t="str">
        <f>IF(Inv!H50=0,"",Inv!H50)</f>
        <v/>
      </c>
      <c r="H10" s="115" t="str">
        <f>'BX1'!B10</f>
        <v>g RP</v>
      </c>
      <c r="I10" s="111" t="str">
        <f>IF(Inv!H51=0,"",Inv!H51)</f>
        <v/>
      </c>
    </row>
    <row r="11" spans="2:9" s="8" customFormat="1" ht="14.25">
      <c r="B11" s="117" t="str">
        <f>'BX1'!B11</f>
        <v>g P</v>
      </c>
      <c r="C11" s="61" t="str">
        <f>IF(Inv!I48=0,"",Inv!I48)</f>
        <v/>
      </c>
      <c r="D11" s="117" t="str">
        <f>'BX1'!B11</f>
        <v>g P</v>
      </c>
      <c r="E11" s="61" t="str">
        <f>IF(Inv!I49=0,"",Inv!I49)</f>
        <v/>
      </c>
      <c r="F11" s="117" t="str">
        <f>'BX1'!B11</f>
        <v>g P</v>
      </c>
      <c r="G11" s="61" t="str">
        <f>IF(Inv!I50=0,"",Inv!I50)</f>
        <v/>
      </c>
      <c r="H11" s="117" t="str">
        <f>'BX1'!B11</f>
        <v>g P</v>
      </c>
      <c r="I11" s="61" t="str">
        <f>IF(Inv!I51=0,"",Inv!I51)</f>
        <v/>
      </c>
    </row>
    <row r="12" spans="2:9" ht="14.25">
      <c r="B12" s="48" t="str">
        <f>+'BX1'!B12</f>
        <v>Datum</v>
      </c>
      <c r="C12" s="49" t="str">
        <f>+'BX1'!C12</f>
        <v>kg Futter</v>
      </c>
      <c r="D12" s="48" t="str">
        <f t="shared" ref="D12:I12" si="0">+B12</f>
        <v>Datum</v>
      </c>
      <c r="E12" s="49" t="str">
        <f t="shared" si="0"/>
        <v>kg Futter</v>
      </c>
      <c r="F12" s="48" t="str">
        <f t="shared" si="0"/>
        <v>Datum</v>
      </c>
      <c r="G12" s="49" t="str">
        <f t="shared" si="0"/>
        <v>kg Futter</v>
      </c>
      <c r="H12" s="48" t="str">
        <f t="shared" si="0"/>
        <v>Datum</v>
      </c>
      <c r="I12" s="49" t="str">
        <f t="shared" si="0"/>
        <v>kg Futter</v>
      </c>
    </row>
    <row r="13" spans="2:9" s="8" customFormat="1" ht="15" hidden="1" customHeight="1">
      <c r="B13" s="269"/>
      <c r="C13" s="266"/>
      <c r="D13" s="269"/>
      <c r="E13" s="266"/>
      <c r="F13" s="269"/>
      <c r="G13" s="266"/>
      <c r="H13" s="269"/>
      <c r="I13" s="266"/>
    </row>
    <row r="14" spans="2:9" s="8" customFormat="1" ht="15" customHeight="1">
      <c r="B14" s="269"/>
      <c r="C14" s="266"/>
      <c r="D14" s="269"/>
      <c r="E14" s="266"/>
      <c r="F14" s="269"/>
      <c r="G14" s="266"/>
      <c r="H14" s="269"/>
      <c r="I14" s="266"/>
    </row>
    <row r="15" spans="2:9" s="8" customFormat="1" ht="15" customHeight="1">
      <c r="B15" s="269"/>
      <c r="C15" s="266"/>
      <c r="D15" s="269"/>
      <c r="E15" s="266"/>
      <c r="F15" s="269"/>
      <c r="G15" s="266"/>
      <c r="H15" s="269"/>
      <c r="I15" s="266"/>
    </row>
    <row r="16" spans="2:9" s="8" customFormat="1" ht="15" customHeight="1">
      <c r="B16" s="269"/>
      <c r="C16" s="266"/>
      <c r="D16" s="269"/>
      <c r="E16" s="266"/>
      <c r="F16" s="269"/>
      <c r="G16" s="266"/>
      <c r="H16" s="269"/>
      <c r="I16" s="266"/>
    </row>
    <row r="17" spans="2:9" s="8" customFormat="1" ht="15" customHeight="1">
      <c r="B17" s="269"/>
      <c r="C17" s="266"/>
      <c r="D17" s="269"/>
      <c r="E17" s="266"/>
      <c r="F17" s="269"/>
      <c r="G17" s="266"/>
      <c r="H17" s="269"/>
      <c r="I17" s="266"/>
    </row>
    <row r="18" spans="2:9" s="8" customFormat="1" ht="15" customHeight="1">
      <c r="B18" s="269"/>
      <c r="C18" s="266"/>
      <c r="D18" s="269"/>
      <c r="E18" s="266"/>
      <c r="F18" s="269"/>
      <c r="G18" s="266"/>
      <c r="H18" s="269"/>
      <c r="I18" s="266"/>
    </row>
    <row r="19" spans="2:9" s="8" customFormat="1" ht="15" customHeight="1">
      <c r="B19" s="269"/>
      <c r="C19" s="266"/>
      <c r="D19" s="269"/>
      <c r="E19" s="266"/>
      <c r="F19" s="269"/>
      <c r="G19" s="266"/>
      <c r="H19" s="269"/>
      <c r="I19" s="266"/>
    </row>
    <row r="20" spans="2:9" s="8" customFormat="1" ht="15" customHeight="1">
      <c r="B20" s="269"/>
      <c r="C20" s="266"/>
      <c r="D20" s="269"/>
      <c r="E20" s="266"/>
      <c r="F20" s="269"/>
      <c r="G20" s="266"/>
      <c r="H20" s="269"/>
      <c r="I20" s="266"/>
    </row>
    <row r="21" spans="2:9" s="8" customFormat="1" ht="15" customHeight="1">
      <c r="B21" s="269"/>
      <c r="C21" s="266"/>
      <c r="D21" s="269"/>
      <c r="E21" s="266"/>
      <c r="F21" s="269"/>
      <c r="G21" s="266"/>
      <c r="H21" s="269"/>
      <c r="I21" s="266"/>
    </row>
    <row r="22" spans="2:9" s="8" customFormat="1" ht="15" customHeight="1">
      <c r="B22" s="269"/>
      <c r="C22" s="266"/>
      <c r="D22" s="269"/>
      <c r="E22" s="266"/>
      <c r="F22" s="269"/>
      <c r="G22" s="266"/>
      <c r="H22" s="269"/>
      <c r="I22" s="266"/>
    </row>
    <row r="23" spans="2:9" s="8" customFormat="1" ht="15" customHeight="1">
      <c r="B23" s="269"/>
      <c r="C23" s="266"/>
      <c r="D23" s="269"/>
      <c r="E23" s="266"/>
      <c r="F23" s="269"/>
      <c r="G23" s="266"/>
      <c r="H23" s="269"/>
      <c r="I23" s="266"/>
    </row>
    <row r="24" spans="2:9" s="8" customFormat="1" ht="15" customHeight="1">
      <c r="B24" s="269"/>
      <c r="C24" s="266"/>
      <c r="D24" s="269"/>
      <c r="E24" s="266"/>
      <c r="F24" s="269"/>
      <c r="G24" s="266"/>
      <c r="H24" s="269"/>
      <c r="I24" s="266"/>
    </row>
    <row r="25" spans="2:9" s="8" customFormat="1" ht="15" customHeight="1">
      <c r="B25" s="269"/>
      <c r="C25" s="266"/>
      <c r="D25" s="269"/>
      <c r="E25" s="266"/>
      <c r="F25" s="269"/>
      <c r="G25" s="266"/>
      <c r="H25" s="269"/>
      <c r="I25" s="266"/>
    </row>
    <row r="26" spans="2:9" s="8" customFormat="1" ht="15" customHeight="1">
      <c r="B26" s="269"/>
      <c r="C26" s="266"/>
      <c r="D26" s="269"/>
      <c r="E26" s="266"/>
      <c r="F26" s="269"/>
      <c r="G26" s="266"/>
      <c r="H26" s="269"/>
      <c r="I26" s="266"/>
    </row>
    <row r="27" spans="2:9" s="8" customFormat="1" ht="15" customHeight="1">
      <c r="B27" s="269"/>
      <c r="C27" s="266"/>
      <c r="D27" s="269"/>
      <c r="E27" s="266"/>
      <c r="F27" s="269"/>
      <c r="G27" s="266"/>
      <c r="H27" s="269"/>
      <c r="I27" s="266"/>
    </row>
    <row r="28" spans="2:9" s="8" customFormat="1" ht="15" customHeight="1">
      <c r="B28" s="269"/>
      <c r="C28" s="266"/>
      <c r="D28" s="269"/>
      <c r="E28" s="266"/>
      <c r="F28" s="269"/>
      <c r="G28" s="266"/>
      <c r="H28" s="269"/>
      <c r="I28" s="266"/>
    </row>
    <row r="29" spans="2:9" s="8" customFormat="1" ht="15" customHeight="1">
      <c r="B29" s="269"/>
      <c r="C29" s="266"/>
      <c r="D29" s="269"/>
      <c r="E29" s="266"/>
      <c r="F29" s="269"/>
      <c r="G29" s="266"/>
      <c r="H29" s="269"/>
      <c r="I29" s="266"/>
    </row>
    <row r="30" spans="2:9" s="8" customFormat="1" ht="15" customHeight="1">
      <c r="B30" s="269"/>
      <c r="C30" s="266"/>
      <c r="D30" s="269"/>
      <c r="E30" s="266"/>
      <c r="F30" s="269"/>
      <c r="G30" s="266"/>
      <c r="H30" s="269"/>
      <c r="I30" s="266"/>
    </row>
    <row r="31" spans="2:9" s="8" customFormat="1" ht="15" customHeight="1">
      <c r="B31" s="269"/>
      <c r="C31" s="266"/>
      <c r="D31" s="269"/>
      <c r="E31" s="266"/>
      <c r="F31" s="269"/>
      <c r="G31" s="266"/>
      <c r="H31" s="269"/>
      <c r="I31" s="266"/>
    </row>
    <row r="32" spans="2:9" s="8" customFormat="1" ht="15" customHeight="1">
      <c r="B32" s="269"/>
      <c r="C32" s="266"/>
      <c r="D32" s="269"/>
      <c r="E32" s="266"/>
      <c r="F32" s="269"/>
      <c r="G32" s="266"/>
      <c r="H32" s="269"/>
      <c r="I32" s="266"/>
    </row>
    <row r="33" spans="2:9" s="8" customFormat="1" ht="15" customHeight="1">
      <c r="B33" s="269"/>
      <c r="C33" s="266"/>
      <c r="D33" s="269"/>
      <c r="E33" s="266"/>
      <c r="F33" s="269"/>
      <c r="G33" s="266"/>
      <c r="H33" s="269"/>
      <c r="I33" s="266"/>
    </row>
    <row r="34" spans="2:9" s="8" customFormat="1" ht="15" customHeight="1">
      <c r="B34" s="269"/>
      <c r="C34" s="266"/>
      <c r="D34" s="269"/>
      <c r="E34" s="266"/>
      <c r="F34" s="269"/>
      <c r="G34" s="266"/>
      <c r="H34" s="269"/>
      <c r="I34" s="266"/>
    </row>
    <row r="35" spans="2:9" s="8" customFormat="1" ht="15" customHeight="1">
      <c r="B35" s="269"/>
      <c r="C35" s="266"/>
      <c r="D35" s="269"/>
      <c r="E35" s="266"/>
      <c r="F35" s="269"/>
      <c r="G35" s="266"/>
      <c r="H35" s="269"/>
      <c r="I35" s="266"/>
    </row>
    <row r="36" spans="2:9" s="8" customFormat="1" ht="15" customHeight="1">
      <c r="B36" s="269"/>
      <c r="C36" s="266"/>
      <c r="D36" s="269"/>
      <c r="E36" s="266"/>
      <c r="F36" s="269"/>
      <c r="G36" s="266"/>
      <c r="H36" s="269"/>
      <c r="I36" s="266"/>
    </row>
    <row r="37" spans="2:9" s="8" customFormat="1" ht="15" customHeight="1">
      <c r="B37" s="269"/>
      <c r="C37" s="266"/>
      <c r="D37" s="269"/>
      <c r="E37" s="266"/>
      <c r="F37" s="269"/>
      <c r="G37" s="266"/>
      <c r="H37" s="269"/>
      <c r="I37" s="266"/>
    </row>
    <row r="38" spans="2:9" s="8" customFormat="1" ht="15" customHeight="1">
      <c r="B38" s="269"/>
      <c r="C38" s="266"/>
      <c r="D38" s="269"/>
      <c r="E38" s="266"/>
      <c r="F38" s="269"/>
      <c r="G38" s="266"/>
      <c r="H38" s="269"/>
      <c r="I38" s="266"/>
    </row>
    <row r="39" spans="2:9" s="8" customFormat="1" ht="15" customHeight="1">
      <c r="B39" s="269"/>
      <c r="C39" s="266"/>
      <c r="D39" s="269"/>
      <c r="E39" s="266"/>
      <c r="F39" s="269"/>
      <c r="G39" s="266"/>
      <c r="H39" s="269"/>
      <c r="I39" s="266"/>
    </row>
    <row r="40" spans="2:9" s="8" customFormat="1" ht="15" customHeight="1">
      <c r="B40" s="269"/>
      <c r="C40" s="266"/>
      <c r="D40" s="269"/>
      <c r="E40" s="266"/>
      <c r="F40" s="269"/>
      <c r="G40" s="266"/>
      <c r="H40" s="269"/>
      <c r="I40" s="266"/>
    </row>
    <row r="41" spans="2:9" s="8" customFormat="1" ht="15" customHeight="1">
      <c r="B41" s="269"/>
      <c r="C41" s="266"/>
      <c r="D41" s="269"/>
      <c r="E41" s="266"/>
      <c r="F41" s="269"/>
      <c r="G41" s="266"/>
      <c r="H41" s="269"/>
      <c r="I41" s="266"/>
    </row>
    <row r="42" spans="2:9" s="8" customFormat="1" ht="15" customHeight="1">
      <c r="B42" s="269"/>
      <c r="C42" s="266"/>
      <c r="D42" s="269"/>
      <c r="E42" s="266"/>
      <c r="F42" s="269"/>
      <c r="G42" s="266"/>
      <c r="H42" s="269"/>
      <c r="I42" s="266"/>
    </row>
    <row r="43" spans="2:9" s="8" customFormat="1" ht="15" customHeight="1">
      <c r="B43" s="269"/>
      <c r="C43" s="266"/>
      <c r="D43" s="269"/>
      <c r="E43" s="266"/>
      <c r="F43" s="269"/>
      <c r="G43" s="266"/>
      <c r="H43" s="269"/>
      <c r="I43" s="266"/>
    </row>
    <row r="44" spans="2:9" s="8" customFormat="1" ht="15" customHeight="1">
      <c r="B44" s="269"/>
      <c r="C44" s="266"/>
      <c r="D44" s="269"/>
      <c r="E44" s="266"/>
      <c r="F44" s="269"/>
      <c r="G44" s="266"/>
      <c r="H44" s="269"/>
      <c r="I44" s="266"/>
    </row>
    <row r="45" spans="2:9" s="8" customFormat="1" ht="15" customHeight="1">
      <c r="B45" s="269"/>
      <c r="C45" s="266"/>
      <c r="D45" s="269"/>
      <c r="E45" s="266"/>
      <c r="F45" s="269"/>
      <c r="G45" s="266"/>
      <c r="H45" s="269"/>
      <c r="I45" s="266"/>
    </row>
    <row r="46" spans="2:9" s="8" customFormat="1" ht="15" customHeight="1">
      <c r="B46" s="269"/>
      <c r="C46" s="266"/>
      <c r="D46" s="269"/>
      <c r="E46" s="266"/>
      <c r="F46" s="269"/>
      <c r="G46" s="266"/>
      <c r="H46" s="269"/>
      <c r="I46" s="266"/>
    </row>
    <row r="47" spans="2:9" s="8" customFormat="1" ht="15" customHeight="1">
      <c r="B47" s="269"/>
      <c r="C47" s="266"/>
      <c r="D47" s="269"/>
      <c r="E47" s="266"/>
      <c r="F47" s="269"/>
      <c r="G47" s="266"/>
      <c r="H47" s="269"/>
      <c r="I47" s="266"/>
    </row>
    <row r="48" spans="2:9" s="8" customFormat="1" ht="15" customHeight="1">
      <c r="B48" s="269"/>
      <c r="C48" s="266"/>
      <c r="D48" s="269"/>
      <c r="E48" s="266"/>
      <c r="F48" s="269"/>
      <c r="G48" s="266"/>
      <c r="H48" s="269"/>
      <c r="I48" s="266"/>
    </row>
    <row r="49" spans="2:9" s="8" customFormat="1" ht="15" customHeight="1">
      <c r="B49" s="269"/>
      <c r="C49" s="266"/>
      <c r="D49" s="269"/>
      <c r="E49" s="266"/>
      <c r="F49" s="269"/>
      <c r="G49" s="266"/>
      <c r="H49" s="269"/>
      <c r="I49" s="266"/>
    </row>
    <row r="50" spans="2:9" s="8" customFormat="1" ht="15" customHeight="1">
      <c r="B50" s="269"/>
      <c r="C50" s="266"/>
      <c r="D50" s="269"/>
      <c r="E50" s="266"/>
      <c r="F50" s="269"/>
      <c r="G50" s="266"/>
      <c r="H50" s="269"/>
      <c r="I50" s="266"/>
    </row>
    <row r="51" spans="2:9" s="8" customFormat="1" ht="15" customHeight="1">
      <c r="B51" s="269"/>
      <c r="C51" s="266"/>
      <c r="D51" s="269"/>
      <c r="E51" s="266"/>
      <c r="F51" s="269"/>
      <c r="G51" s="266"/>
      <c r="H51" s="269"/>
      <c r="I51" s="266"/>
    </row>
    <row r="52" spans="2:9" s="8" customFormat="1" ht="15" customHeight="1">
      <c r="B52" s="269"/>
      <c r="C52" s="266"/>
      <c r="D52" s="269"/>
      <c r="E52" s="266"/>
      <c r="F52" s="269"/>
      <c r="G52" s="266"/>
      <c r="H52" s="269"/>
      <c r="I52" s="266"/>
    </row>
    <row r="53" spans="2:9" s="8" customFormat="1" ht="15" customHeight="1">
      <c r="B53" s="269"/>
      <c r="C53" s="266"/>
      <c r="D53" s="269"/>
      <c r="E53" s="266"/>
      <c r="F53" s="269"/>
      <c r="G53" s="266"/>
      <c r="H53" s="269"/>
      <c r="I53" s="266"/>
    </row>
    <row r="54" spans="2:9" s="8" customFormat="1" ht="15" customHeight="1">
      <c r="B54" s="269"/>
      <c r="C54" s="266"/>
      <c r="D54" s="269"/>
      <c r="E54" s="266"/>
      <c r="F54" s="269"/>
      <c r="G54" s="266"/>
      <c r="H54" s="269"/>
      <c r="I54" s="266"/>
    </row>
    <row r="55" spans="2:9" s="8" customFormat="1" ht="15" customHeight="1">
      <c r="B55" s="269"/>
      <c r="C55" s="266"/>
      <c r="D55" s="269"/>
      <c r="E55" s="266"/>
      <c r="F55" s="269"/>
      <c r="G55" s="266"/>
      <c r="H55" s="269"/>
      <c r="I55" s="266"/>
    </row>
    <row r="56" spans="2:9" s="8" customFormat="1" ht="15" customHeight="1">
      <c r="B56" s="269"/>
      <c r="C56" s="266"/>
      <c r="D56" s="269"/>
      <c r="E56" s="266"/>
      <c r="F56" s="269"/>
      <c r="G56" s="266"/>
      <c r="H56" s="269"/>
      <c r="I56" s="266"/>
    </row>
    <row r="57" spans="2:9" s="8" customFormat="1" ht="15" customHeight="1">
      <c r="B57" s="269"/>
      <c r="C57" s="266"/>
      <c r="D57" s="269"/>
      <c r="E57" s="266"/>
      <c r="F57" s="269"/>
      <c r="G57" s="266"/>
      <c r="H57" s="269"/>
      <c r="I57" s="266"/>
    </row>
    <row r="58" spans="2:9" s="8" customFormat="1" ht="14.25">
      <c r="B58" s="27" t="str">
        <f>+'BX1'!B58</f>
        <v>Total Zufuhr</v>
      </c>
      <c r="C58" s="271">
        <f>IF(SUM(C13:C57)=0,0,SUM(C13:C57))</f>
        <v>0</v>
      </c>
      <c r="D58" s="27" t="str">
        <f>+B58</f>
        <v>Total Zufuhr</v>
      </c>
      <c r="E58" s="273">
        <f>IF(SUM(E13:E57)=0,0,SUM(E13:E57))</f>
        <v>0</v>
      </c>
      <c r="F58" s="27" t="str">
        <f>+D58</f>
        <v>Total Zufuhr</v>
      </c>
      <c r="G58" s="271">
        <f>IF(SUM(G13:G57)=0,0,SUM(G13:G57))</f>
        <v>0</v>
      </c>
      <c r="H58" s="27" t="str">
        <f>+F58</f>
        <v>Total Zufuhr</v>
      </c>
      <c r="I58" s="271">
        <f>IF(SUM(I13:I57)=0,0,SUM(I13:I57))</f>
        <v>0</v>
      </c>
    </row>
    <row r="59" spans="2:9" s="3" customFormat="1" ht="6" customHeight="1"/>
    <row r="60" spans="2:9" ht="18" customHeight="1">
      <c r="B60" s="6" t="str">
        <f>+'BX1'!B60</f>
        <v>Es müssen alle eingesetzten Futtermittel erfasst werden.</v>
      </c>
    </row>
    <row r="61" spans="2:9" s="3" customFormat="1" ht="4.5" customHeight="1">
      <c r="E61" s="5"/>
    </row>
    <row r="62" spans="2:9" ht="21" customHeight="1">
      <c r="B62" s="29" t="str">
        <f>+Inv!B80</f>
        <v>Kantonale Kontrollstelle, Datum:</v>
      </c>
      <c r="C62" s="30"/>
      <c r="D62" s="30"/>
      <c r="E62" s="30"/>
      <c r="F62" s="30" t="str">
        <f>+Inv!H80</f>
        <v>Unterschrift:</v>
      </c>
      <c r="G62" s="30"/>
      <c r="H62" s="30"/>
      <c r="I62" s="31"/>
    </row>
    <row r="63" spans="2:9" ht="4.5" customHeight="1"/>
    <row r="64" spans="2:9" ht="21" customHeight="1">
      <c r="B64" s="29" t="str">
        <f>+Inv!B82</f>
        <v>Betriebsleiter, Datum:</v>
      </c>
      <c r="C64" s="30"/>
      <c r="D64" s="30"/>
      <c r="E64" s="30"/>
      <c r="F64" s="30" t="str">
        <f>+Inv!H82</f>
        <v>Unterschrift:</v>
      </c>
      <c r="G64" s="30"/>
      <c r="H64" s="30"/>
      <c r="I64" s="31"/>
    </row>
    <row r="65" spans="6:7" ht="6" customHeight="1">
      <c r="F65" s="10"/>
      <c r="G65" s="10"/>
    </row>
  </sheetData>
  <phoneticPr fontId="59" type="noConversion"/>
  <pageMargins left="0.59055118110236227" right="0.39370078740157483" top="0.39370078740157483" bottom="0.32" header="0.11811023622047245" footer="0.11811023622047245"/>
  <pageSetup paperSize="9" scale="83" orientation="portrait" r:id="rId1"/>
  <headerFooter alignWithMargins="0">
    <oddFooter>&amp;C&amp;9&amp;F&amp;L&amp;"Arial,Fett"&amp;11AGRIDEA &amp;"Arial,Standard"&amp;9Impex, Version 2.6&amp;R&amp;"Arial,Standard"&amp;9&amp;D / Seite &amp;P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pageSetUpPr fitToPage="1"/>
  </sheetPr>
  <dimension ref="B1:I65"/>
  <sheetViews>
    <sheetView showGridLines="0" showRowColHeaders="0" workbookViewId="0">
      <selection activeCell="B14" sqref="B14"/>
    </sheetView>
  </sheetViews>
  <sheetFormatPr baseColWidth="10" defaultColWidth="11.42578125" defaultRowHeight="12.75"/>
  <cols>
    <col min="1" max="1" width="1.42578125" style="1" customWidth="1"/>
    <col min="2" max="9" width="12.5703125" style="1" customWidth="1"/>
    <col min="10" max="10" width="1.42578125" style="1" customWidth="1"/>
    <col min="11" max="16384" width="11.42578125" style="1"/>
  </cols>
  <sheetData>
    <row r="1" spans="2:9" ht="43.7" customHeight="1">
      <c r="D1" s="186" t="str">
        <f>+A2a!D1</f>
        <v>Impex:   Mastpoulets</v>
      </c>
      <c r="I1" s="187" t="str">
        <f>"BX3: "&amp;Textes!A100</f>
        <v>BX3: Mischfutterzufuhr</v>
      </c>
    </row>
    <row r="2" spans="2:9" ht="15">
      <c r="B2" s="679" t="str">
        <f>Inv!C4&amp;IF(Inv!D4=0,"",Inv!D4)</f>
        <v xml:space="preserve">Betriebs-Nr:    </v>
      </c>
      <c r="C2" s="191"/>
      <c r="D2" s="680"/>
      <c r="E2" s="681"/>
      <c r="F2" s="682" t="str">
        <f>Inv!C5&amp;IF(Inv!D5=0,"",Inv!D6&amp;" "&amp;Inv!D5)</f>
        <v xml:space="preserve">Name:    </v>
      </c>
      <c r="H2" s="110"/>
    </row>
    <row r="3" spans="2:9" s="6" customFormat="1">
      <c r="B3" s="1"/>
      <c r="C3" s="1"/>
      <c r="D3" s="1"/>
      <c r="E3" s="1"/>
      <c r="F3" s="1"/>
      <c r="G3" s="1"/>
      <c r="H3" s="1"/>
      <c r="I3" s="1"/>
    </row>
    <row r="4" spans="2:9" ht="14.25">
      <c r="B4" s="222" t="str">
        <f>+'BX2'!B4</f>
        <v>Futterlieferant</v>
      </c>
      <c r="C4" s="223"/>
      <c r="D4" s="222" t="str">
        <f>+B4</f>
        <v>Futterlieferant</v>
      </c>
      <c r="E4" s="223"/>
      <c r="F4" s="222" t="str">
        <f>+D4</f>
        <v>Futterlieferant</v>
      </c>
      <c r="G4" s="223"/>
      <c r="H4" s="222" t="str">
        <f>+F4</f>
        <v>Futterlieferant</v>
      </c>
      <c r="I4" s="223"/>
    </row>
    <row r="5" spans="2:9" s="7" customFormat="1" ht="18">
      <c r="B5" s="226"/>
      <c r="C5" s="198"/>
      <c r="D5" s="226"/>
      <c r="E5" s="198"/>
      <c r="F5" s="226"/>
      <c r="G5" s="198"/>
      <c r="H5" s="226"/>
      <c r="I5" s="198"/>
    </row>
    <row r="6" spans="2:9" s="6" customFormat="1" ht="15">
      <c r="B6" s="232" t="str">
        <f>IF(Inv!B52=0,"",Inv!B52)</f>
        <v/>
      </c>
      <c r="C6" s="195"/>
      <c r="D6" s="232" t="str">
        <f>IF(Inv!B53=0,"",Inv!B53)</f>
        <v/>
      </c>
      <c r="E6" s="195"/>
      <c r="F6" s="232" t="str">
        <f>IF(Inv!B54=0,"",Inv!B54)</f>
        <v/>
      </c>
      <c r="G6" s="195"/>
      <c r="H6" s="232" t="str">
        <f>IF(Inv!B55=0,"",Inv!B55)</f>
        <v/>
      </c>
      <c r="I6" s="195"/>
    </row>
    <row r="7" spans="2:9" s="42" customFormat="1" ht="15">
      <c r="B7" s="112" t="str">
        <f>+'BX2'!B7</f>
        <v>TS in %</v>
      </c>
      <c r="C7" s="113" t="str">
        <f>IF(Inv!F52=0,"",Inv!F52)</f>
        <v/>
      </c>
      <c r="D7" s="112" t="str">
        <f>+B7</f>
        <v>TS in %</v>
      </c>
      <c r="E7" s="114" t="str">
        <f>IF(Inv!F53=0,"",Inv!F53)</f>
        <v/>
      </c>
      <c r="F7" s="112" t="str">
        <f>+B7</f>
        <v>TS in %</v>
      </c>
      <c r="G7" s="114" t="str">
        <f>IF(Inv!F54=0,"",Inv!F54)</f>
        <v/>
      </c>
      <c r="H7" s="112" t="str">
        <f>+B7</f>
        <v>TS in %</v>
      </c>
      <c r="I7" s="114" t="str">
        <f>IF(Inv!F55=0,"",Inv!F55)</f>
        <v/>
      </c>
    </row>
    <row r="8" spans="2:9" s="42" customFormat="1" ht="15">
      <c r="B8" s="196" t="str">
        <f>+'BX2'!B8</f>
        <v>pro kg Futter</v>
      </c>
      <c r="C8" s="197"/>
      <c r="D8" s="196" t="str">
        <f>+B8</f>
        <v>pro kg Futter</v>
      </c>
      <c r="E8" s="197"/>
      <c r="F8" s="196" t="str">
        <f>+D8</f>
        <v>pro kg Futter</v>
      </c>
      <c r="G8" s="197"/>
      <c r="H8" s="196" t="str">
        <f>+F8</f>
        <v>pro kg Futter</v>
      </c>
      <c r="I8" s="197"/>
    </row>
    <row r="9" spans="2:9" ht="14.25">
      <c r="B9" s="115" t="str">
        <f>'BX1'!B9</f>
        <v>MJ UEG</v>
      </c>
      <c r="C9" s="116" t="str">
        <f>IF(Inv!G52=0,"",Inv!G52)</f>
        <v/>
      </c>
      <c r="D9" s="115" t="str">
        <f>'BX1'!B9</f>
        <v>MJ UEG</v>
      </c>
      <c r="E9" s="116" t="str">
        <f>IF(Inv!G53=0,"",Inv!G53)</f>
        <v/>
      </c>
      <c r="F9" s="115" t="str">
        <f>'BX1'!B9</f>
        <v>MJ UEG</v>
      </c>
      <c r="G9" s="116" t="str">
        <f>IF(Inv!G54=0,"",Inv!G54)</f>
        <v/>
      </c>
      <c r="H9" s="115" t="str">
        <f>'BX1'!B9</f>
        <v>MJ UEG</v>
      </c>
      <c r="I9" s="116" t="str">
        <f>IF(Inv!G55=0,"",Inv!G55)</f>
        <v/>
      </c>
    </row>
    <row r="10" spans="2:9" s="8" customFormat="1" ht="14.25">
      <c r="B10" s="115" t="str">
        <f>'BX1'!B10</f>
        <v>g RP</v>
      </c>
      <c r="C10" s="111" t="str">
        <f>IF(Inv!H52=0,"",Inv!H52)</f>
        <v/>
      </c>
      <c r="D10" s="115" t="str">
        <f>'BX1'!B10</f>
        <v>g RP</v>
      </c>
      <c r="E10" s="111" t="str">
        <f>IF(Inv!H53=0,"",Inv!H53)</f>
        <v/>
      </c>
      <c r="F10" s="115" t="str">
        <f>'BX1'!B10</f>
        <v>g RP</v>
      </c>
      <c r="G10" s="111" t="str">
        <f>IF(Inv!H54=0,"",Inv!H54)</f>
        <v/>
      </c>
      <c r="H10" s="115" t="str">
        <f>'BX1'!B10</f>
        <v>g RP</v>
      </c>
      <c r="I10" s="111" t="str">
        <f>IF(Inv!H55=0,"",Inv!H55)</f>
        <v/>
      </c>
    </row>
    <row r="11" spans="2:9" s="8" customFormat="1" ht="14.25">
      <c r="B11" s="117" t="str">
        <f>'BX1'!B11</f>
        <v>g P</v>
      </c>
      <c r="C11" s="61" t="str">
        <f>IF(Inv!I52=0,"",Inv!I52)</f>
        <v/>
      </c>
      <c r="D11" s="117" t="str">
        <f>'BX1'!B11</f>
        <v>g P</v>
      </c>
      <c r="E11" s="61" t="str">
        <f>IF(Inv!I53=0,"",Inv!I53)</f>
        <v/>
      </c>
      <c r="F11" s="117" t="str">
        <f>'BX1'!B11</f>
        <v>g P</v>
      </c>
      <c r="G11" s="61" t="str">
        <f>IF(Inv!I54=0,"",Inv!I54)</f>
        <v/>
      </c>
      <c r="H11" s="117" t="str">
        <f>'BX1'!B11</f>
        <v>g P</v>
      </c>
      <c r="I11" s="61" t="str">
        <f>IF(Inv!I55=0,"",Inv!I55)</f>
        <v/>
      </c>
    </row>
    <row r="12" spans="2:9" ht="14.25">
      <c r="B12" s="48" t="str">
        <f>+'BX2'!B12</f>
        <v>Datum</v>
      </c>
      <c r="C12" s="49" t="str">
        <f>+'BX2'!C12</f>
        <v>kg Futter</v>
      </c>
      <c r="D12" s="48" t="str">
        <f t="shared" ref="D12:I12" si="0">+B12</f>
        <v>Datum</v>
      </c>
      <c r="E12" s="49" t="str">
        <f t="shared" si="0"/>
        <v>kg Futter</v>
      </c>
      <c r="F12" s="48" t="str">
        <f t="shared" si="0"/>
        <v>Datum</v>
      </c>
      <c r="G12" s="49" t="str">
        <f t="shared" si="0"/>
        <v>kg Futter</v>
      </c>
      <c r="H12" s="48" t="str">
        <f t="shared" si="0"/>
        <v>Datum</v>
      </c>
      <c r="I12" s="49" t="str">
        <f t="shared" si="0"/>
        <v>kg Futter</v>
      </c>
    </row>
    <row r="13" spans="2:9" s="9" customFormat="1" ht="15" hidden="1" customHeight="1">
      <c r="B13" s="269"/>
      <c r="C13" s="266"/>
      <c r="D13" s="284"/>
      <c r="E13" s="266"/>
      <c r="F13" s="284"/>
      <c r="G13" s="266"/>
      <c r="H13" s="284"/>
      <c r="I13" s="266"/>
    </row>
    <row r="14" spans="2:9" s="9" customFormat="1" ht="15" customHeight="1">
      <c r="B14" s="269"/>
      <c r="C14" s="266"/>
      <c r="D14" s="284"/>
      <c r="E14" s="266"/>
      <c r="F14" s="284"/>
      <c r="G14" s="266"/>
      <c r="H14" s="284"/>
      <c r="I14" s="266"/>
    </row>
    <row r="15" spans="2:9" s="9" customFormat="1" ht="15" customHeight="1">
      <c r="B15" s="274"/>
      <c r="C15" s="267"/>
      <c r="D15" s="274"/>
      <c r="E15" s="267"/>
      <c r="F15" s="285"/>
      <c r="G15" s="267"/>
      <c r="H15" s="274"/>
      <c r="I15" s="267"/>
    </row>
    <row r="16" spans="2:9" s="9" customFormat="1" ht="15" customHeight="1">
      <c r="B16" s="269"/>
      <c r="C16" s="266"/>
      <c r="D16" s="269"/>
      <c r="E16" s="266"/>
      <c r="F16" s="269"/>
      <c r="G16" s="266"/>
      <c r="H16" s="269"/>
      <c r="I16" s="266"/>
    </row>
    <row r="17" spans="2:9" s="9" customFormat="1" ht="15" customHeight="1">
      <c r="B17" s="269"/>
      <c r="C17" s="266"/>
      <c r="D17" s="269"/>
      <c r="E17" s="266"/>
      <c r="F17" s="269"/>
      <c r="G17" s="266"/>
      <c r="H17" s="269"/>
      <c r="I17" s="266"/>
    </row>
    <row r="18" spans="2:9" s="9" customFormat="1" ht="15" customHeight="1">
      <c r="B18" s="269"/>
      <c r="C18" s="266"/>
      <c r="D18" s="269"/>
      <c r="E18" s="266"/>
      <c r="F18" s="269"/>
      <c r="G18" s="266"/>
      <c r="H18" s="269"/>
      <c r="I18" s="266"/>
    </row>
    <row r="19" spans="2:9" s="9" customFormat="1" ht="15" customHeight="1">
      <c r="B19" s="269"/>
      <c r="C19" s="266"/>
      <c r="D19" s="269"/>
      <c r="E19" s="266"/>
      <c r="F19" s="269"/>
      <c r="G19" s="266"/>
      <c r="H19" s="269"/>
      <c r="I19" s="266"/>
    </row>
    <row r="20" spans="2:9" s="9" customFormat="1" ht="15" customHeight="1">
      <c r="B20" s="269"/>
      <c r="C20" s="266"/>
      <c r="D20" s="269"/>
      <c r="E20" s="266"/>
      <c r="F20" s="269"/>
      <c r="G20" s="266"/>
      <c r="H20" s="269"/>
      <c r="I20" s="266"/>
    </row>
    <row r="21" spans="2:9" s="9" customFormat="1" ht="15" customHeight="1">
      <c r="B21" s="269"/>
      <c r="C21" s="266"/>
      <c r="D21" s="269"/>
      <c r="E21" s="266"/>
      <c r="F21" s="269"/>
      <c r="G21" s="266"/>
      <c r="H21" s="269"/>
      <c r="I21" s="266"/>
    </row>
    <row r="22" spans="2:9" s="9" customFormat="1" ht="15" customHeight="1">
      <c r="B22" s="269"/>
      <c r="C22" s="266"/>
      <c r="D22" s="269"/>
      <c r="E22" s="266"/>
      <c r="F22" s="269"/>
      <c r="G22" s="266"/>
      <c r="H22" s="269"/>
      <c r="I22" s="266"/>
    </row>
    <row r="23" spans="2:9" s="9" customFormat="1" ht="15" customHeight="1">
      <c r="B23" s="269"/>
      <c r="C23" s="266"/>
      <c r="D23" s="269"/>
      <c r="E23" s="266"/>
      <c r="F23" s="269"/>
      <c r="G23" s="266"/>
      <c r="H23" s="269"/>
      <c r="I23" s="266"/>
    </row>
    <row r="24" spans="2:9" s="9" customFormat="1" ht="15" customHeight="1">
      <c r="B24" s="269"/>
      <c r="C24" s="266"/>
      <c r="D24" s="269"/>
      <c r="E24" s="266"/>
      <c r="F24" s="269"/>
      <c r="G24" s="266"/>
      <c r="H24" s="269"/>
      <c r="I24" s="266"/>
    </row>
    <row r="25" spans="2:9" s="9" customFormat="1" ht="15" customHeight="1">
      <c r="B25" s="269"/>
      <c r="C25" s="266"/>
      <c r="D25" s="269"/>
      <c r="E25" s="266"/>
      <c r="F25" s="269"/>
      <c r="G25" s="266"/>
      <c r="H25" s="269"/>
      <c r="I25" s="266"/>
    </row>
    <row r="26" spans="2:9" s="9" customFormat="1" ht="15" customHeight="1">
      <c r="B26" s="269"/>
      <c r="C26" s="266"/>
      <c r="D26" s="269"/>
      <c r="E26" s="266"/>
      <c r="F26" s="269"/>
      <c r="G26" s="266"/>
      <c r="H26" s="269"/>
      <c r="I26" s="266"/>
    </row>
    <row r="27" spans="2:9" s="9" customFormat="1" ht="15" customHeight="1">
      <c r="B27" s="269"/>
      <c r="C27" s="266"/>
      <c r="D27" s="269"/>
      <c r="E27" s="266"/>
      <c r="F27" s="269"/>
      <c r="G27" s="266"/>
      <c r="H27" s="269"/>
      <c r="I27" s="266"/>
    </row>
    <row r="28" spans="2:9" s="9" customFormat="1" ht="15" customHeight="1">
      <c r="B28" s="269"/>
      <c r="C28" s="266"/>
      <c r="D28" s="269"/>
      <c r="E28" s="266"/>
      <c r="F28" s="269"/>
      <c r="G28" s="266"/>
      <c r="H28" s="269"/>
      <c r="I28" s="266"/>
    </row>
    <row r="29" spans="2:9" s="9" customFormat="1" ht="15" customHeight="1">
      <c r="B29" s="269"/>
      <c r="C29" s="266"/>
      <c r="D29" s="269"/>
      <c r="E29" s="266"/>
      <c r="F29" s="269"/>
      <c r="G29" s="266"/>
      <c r="H29" s="269"/>
      <c r="I29" s="266"/>
    </row>
    <row r="30" spans="2:9" s="9" customFormat="1" ht="15" customHeight="1">
      <c r="B30" s="269"/>
      <c r="C30" s="266"/>
      <c r="D30" s="269"/>
      <c r="E30" s="266"/>
      <c r="F30" s="269"/>
      <c r="G30" s="266"/>
      <c r="H30" s="269"/>
      <c r="I30" s="266"/>
    </row>
    <row r="31" spans="2:9" s="9" customFormat="1" ht="15" customHeight="1">
      <c r="B31" s="269"/>
      <c r="C31" s="266"/>
      <c r="D31" s="269"/>
      <c r="E31" s="266"/>
      <c r="F31" s="269"/>
      <c r="G31" s="266"/>
      <c r="H31" s="269"/>
      <c r="I31" s="266"/>
    </row>
    <row r="32" spans="2:9" s="9" customFormat="1" ht="15" customHeight="1">
      <c r="B32" s="269"/>
      <c r="C32" s="266"/>
      <c r="D32" s="269"/>
      <c r="E32" s="266"/>
      <c r="F32" s="269"/>
      <c r="G32" s="266"/>
      <c r="H32" s="269"/>
      <c r="I32" s="266"/>
    </row>
    <row r="33" spans="2:9" s="9" customFormat="1" ht="15" customHeight="1">
      <c r="B33" s="269"/>
      <c r="C33" s="266"/>
      <c r="D33" s="269"/>
      <c r="E33" s="266"/>
      <c r="F33" s="269"/>
      <c r="G33" s="266"/>
      <c r="H33" s="269"/>
      <c r="I33" s="266"/>
    </row>
    <row r="34" spans="2:9" s="9" customFormat="1" ht="15" customHeight="1">
      <c r="B34" s="269"/>
      <c r="C34" s="266"/>
      <c r="D34" s="269"/>
      <c r="E34" s="266"/>
      <c r="F34" s="269"/>
      <c r="G34" s="266"/>
      <c r="H34" s="269"/>
      <c r="I34" s="266"/>
    </row>
    <row r="35" spans="2:9" s="9" customFormat="1" ht="15" customHeight="1">
      <c r="B35" s="269"/>
      <c r="C35" s="266"/>
      <c r="D35" s="269"/>
      <c r="E35" s="266"/>
      <c r="F35" s="269"/>
      <c r="G35" s="266"/>
      <c r="H35" s="269"/>
      <c r="I35" s="266"/>
    </row>
    <row r="36" spans="2:9" s="9" customFormat="1" ht="15" customHeight="1">
      <c r="B36" s="269"/>
      <c r="C36" s="266"/>
      <c r="D36" s="269"/>
      <c r="E36" s="266"/>
      <c r="F36" s="269"/>
      <c r="G36" s="266"/>
      <c r="H36" s="269"/>
      <c r="I36" s="266"/>
    </row>
    <row r="37" spans="2:9" s="9" customFormat="1" ht="15" customHeight="1">
      <c r="B37" s="269"/>
      <c r="C37" s="266"/>
      <c r="D37" s="269"/>
      <c r="E37" s="266"/>
      <c r="F37" s="269"/>
      <c r="G37" s="266"/>
      <c r="H37" s="269"/>
      <c r="I37" s="266"/>
    </row>
    <row r="38" spans="2:9" s="9" customFormat="1" ht="15" customHeight="1">
      <c r="B38" s="269"/>
      <c r="C38" s="266"/>
      <c r="D38" s="269"/>
      <c r="E38" s="266"/>
      <c r="F38" s="269"/>
      <c r="G38" s="266"/>
      <c r="H38" s="269"/>
      <c r="I38" s="266"/>
    </row>
    <row r="39" spans="2:9" s="9" customFormat="1" ht="15" customHeight="1">
      <c r="B39" s="269"/>
      <c r="C39" s="266"/>
      <c r="D39" s="269"/>
      <c r="E39" s="266"/>
      <c r="F39" s="269"/>
      <c r="G39" s="266"/>
      <c r="H39" s="269"/>
      <c r="I39" s="266"/>
    </row>
    <row r="40" spans="2:9" s="9" customFormat="1" ht="15" customHeight="1">
      <c r="B40" s="269"/>
      <c r="C40" s="266"/>
      <c r="D40" s="269"/>
      <c r="E40" s="266"/>
      <c r="F40" s="269"/>
      <c r="G40" s="266"/>
      <c r="H40" s="269"/>
      <c r="I40" s="266"/>
    </row>
    <row r="41" spans="2:9" s="9" customFormat="1" ht="15" customHeight="1">
      <c r="B41" s="269"/>
      <c r="C41" s="266"/>
      <c r="D41" s="269"/>
      <c r="E41" s="266"/>
      <c r="F41" s="269"/>
      <c r="G41" s="266"/>
      <c r="H41" s="269"/>
      <c r="I41" s="266"/>
    </row>
    <row r="42" spans="2:9" s="9" customFormat="1" ht="15" customHeight="1">
      <c r="B42" s="269"/>
      <c r="C42" s="266"/>
      <c r="D42" s="269"/>
      <c r="E42" s="266"/>
      <c r="F42" s="269"/>
      <c r="G42" s="266"/>
      <c r="H42" s="269"/>
      <c r="I42" s="266"/>
    </row>
    <row r="43" spans="2:9" s="9" customFormat="1" ht="15" customHeight="1">
      <c r="B43" s="269"/>
      <c r="C43" s="266"/>
      <c r="D43" s="269"/>
      <c r="E43" s="266"/>
      <c r="F43" s="269"/>
      <c r="G43" s="266"/>
      <c r="H43" s="269"/>
      <c r="I43" s="266"/>
    </row>
    <row r="44" spans="2:9" s="9" customFormat="1" ht="15" customHeight="1">
      <c r="B44" s="269"/>
      <c r="C44" s="266"/>
      <c r="D44" s="269"/>
      <c r="E44" s="266"/>
      <c r="F44" s="269"/>
      <c r="G44" s="266"/>
      <c r="H44" s="269"/>
      <c r="I44" s="266"/>
    </row>
    <row r="45" spans="2:9" s="9" customFormat="1" ht="15" customHeight="1">
      <c r="B45" s="269"/>
      <c r="C45" s="266"/>
      <c r="D45" s="269"/>
      <c r="E45" s="266"/>
      <c r="F45" s="269"/>
      <c r="G45" s="266"/>
      <c r="H45" s="269"/>
      <c r="I45" s="266"/>
    </row>
    <row r="46" spans="2:9" s="9" customFormat="1" ht="15" customHeight="1">
      <c r="B46" s="269"/>
      <c r="C46" s="266"/>
      <c r="D46" s="269"/>
      <c r="E46" s="266"/>
      <c r="F46" s="269"/>
      <c r="G46" s="266"/>
      <c r="H46" s="269"/>
      <c r="I46" s="266"/>
    </row>
    <row r="47" spans="2:9" s="9" customFormat="1" ht="15" customHeight="1">
      <c r="B47" s="269"/>
      <c r="C47" s="266"/>
      <c r="D47" s="269"/>
      <c r="E47" s="266"/>
      <c r="F47" s="269"/>
      <c r="G47" s="266"/>
      <c r="H47" s="269"/>
      <c r="I47" s="266"/>
    </row>
    <row r="48" spans="2:9" s="9" customFormat="1" ht="15" customHeight="1">
      <c r="B48" s="269"/>
      <c r="C48" s="266"/>
      <c r="D48" s="269"/>
      <c r="E48" s="266"/>
      <c r="F48" s="269"/>
      <c r="G48" s="266"/>
      <c r="H48" s="269"/>
      <c r="I48" s="266"/>
    </row>
    <row r="49" spans="2:9" s="9" customFormat="1" ht="15" customHeight="1">
      <c r="B49" s="269"/>
      <c r="C49" s="266"/>
      <c r="D49" s="269"/>
      <c r="E49" s="266"/>
      <c r="F49" s="269"/>
      <c r="G49" s="266"/>
      <c r="H49" s="269"/>
      <c r="I49" s="266"/>
    </row>
    <row r="50" spans="2:9" s="9" customFormat="1" ht="15" customHeight="1">
      <c r="B50" s="269"/>
      <c r="C50" s="266"/>
      <c r="D50" s="269"/>
      <c r="E50" s="266"/>
      <c r="F50" s="269"/>
      <c r="G50" s="266"/>
      <c r="H50" s="269"/>
      <c r="I50" s="266"/>
    </row>
    <row r="51" spans="2:9" s="9" customFormat="1" ht="15" customHeight="1">
      <c r="B51" s="269"/>
      <c r="C51" s="266"/>
      <c r="D51" s="269"/>
      <c r="E51" s="266"/>
      <c r="F51" s="269"/>
      <c r="G51" s="266"/>
      <c r="H51" s="269"/>
      <c r="I51" s="266"/>
    </row>
    <row r="52" spans="2:9" s="9" customFormat="1" ht="15" customHeight="1">
      <c r="B52" s="269"/>
      <c r="C52" s="266"/>
      <c r="D52" s="269"/>
      <c r="E52" s="266"/>
      <c r="F52" s="269"/>
      <c r="G52" s="266"/>
      <c r="H52" s="269"/>
      <c r="I52" s="266"/>
    </row>
    <row r="53" spans="2:9" s="9" customFormat="1" ht="15" customHeight="1">
      <c r="B53" s="269"/>
      <c r="C53" s="266"/>
      <c r="D53" s="269"/>
      <c r="E53" s="266"/>
      <c r="F53" s="269"/>
      <c r="G53" s="266"/>
      <c r="H53" s="269"/>
      <c r="I53" s="266"/>
    </row>
    <row r="54" spans="2:9" s="9" customFormat="1" ht="15" customHeight="1">
      <c r="B54" s="269"/>
      <c r="C54" s="266"/>
      <c r="D54" s="269"/>
      <c r="E54" s="266"/>
      <c r="F54" s="269"/>
      <c r="G54" s="266"/>
      <c r="H54" s="269"/>
      <c r="I54" s="266"/>
    </row>
    <row r="55" spans="2:9" s="9" customFormat="1" ht="15" customHeight="1">
      <c r="B55" s="269"/>
      <c r="C55" s="266"/>
      <c r="D55" s="269"/>
      <c r="E55" s="266"/>
      <c r="F55" s="269"/>
      <c r="G55" s="266"/>
      <c r="H55" s="269"/>
      <c r="I55" s="266"/>
    </row>
    <row r="56" spans="2:9" s="9" customFormat="1" ht="15" customHeight="1">
      <c r="B56" s="269"/>
      <c r="C56" s="266"/>
      <c r="D56" s="269"/>
      <c r="E56" s="266"/>
      <c r="F56" s="269"/>
      <c r="G56" s="266"/>
      <c r="H56" s="269"/>
      <c r="I56" s="266"/>
    </row>
    <row r="57" spans="2:9" s="9" customFormat="1" ht="15" customHeight="1">
      <c r="B57" s="269"/>
      <c r="C57" s="266"/>
      <c r="D57" s="269"/>
      <c r="E57" s="266"/>
      <c r="F57" s="269"/>
      <c r="G57" s="266"/>
      <c r="H57" s="269"/>
      <c r="I57" s="266"/>
    </row>
    <row r="58" spans="2:9" s="3" customFormat="1" ht="14.25">
      <c r="B58" s="27" t="str">
        <f>+'BX2'!B58</f>
        <v>Total Zufuhr</v>
      </c>
      <c r="C58" s="275">
        <f>IF(SUM(C13:C57)=0,0,SUM(C13:C57))</f>
        <v>0</v>
      </c>
      <c r="D58" s="27" t="str">
        <f>+B58</f>
        <v>Total Zufuhr</v>
      </c>
      <c r="E58" s="276">
        <f>IF(SUM(E13:E57)=0,0,SUM(E13:E57))</f>
        <v>0</v>
      </c>
      <c r="F58" s="27" t="str">
        <f>+D58</f>
        <v>Total Zufuhr</v>
      </c>
      <c r="G58" s="275">
        <f>IF(SUM(G13:G57)=0,0,SUM(G13:G57))</f>
        <v>0</v>
      </c>
      <c r="H58" s="27" t="str">
        <f>+F58</f>
        <v>Total Zufuhr</v>
      </c>
      <c r="I58" s="276">
        <f>IF(SUM(I13:I57)=0,0,SUM(I13:I57))</f>
        <v>0</v>
      </c>
    </row>
    <row r="59" spans="2:9" s="3" customFormat="1" ht="11.25"/>
    <row r="60" spans="2:9" ht="18" customHeight="1">
      <c r="B60" s="6" t="str">
        <f>+'BX1'!B60</f>
        <v>Es müssen alle eingesetzten Futtermittel erfasst werden.</v>
      </c>
    </row>
    <row r="61" spans="2:9" s="3" customFormat="1" ht="4.5" customHeight="1">
      <c r="E61" s="5"/>
    </row>
    <row r="62" spans="2:9" ht="21" customHeight="1">
      <c r="B62" s="29" t="str">
        <f>+Inv!B80</f>
        <v>Kantonale Kontrollstelle, Datum:</v>
      </c>
      <c r="C62" s="30"/>
      <c r="D62" s="30"/>
      <c r="E62" s="30"/>
      <c r="F62" s="30" t="str">
        <f>+Inv!H80</f>
        <v>Unterschrift:</v>
      </c>
      <c r="G62" s="30"/>
      <c r="H62" s="30"/>
      <c r="I62" s="31"/>
    </row>
    <row r="63" spans="2:9" ht="4.5" customHeight="1"/>
    <row r="64" spans="2:9" ht="21" customHeight="1">
      <c r="B64" s="29" t="str">
        <f>+Inv!B82</f>
        <v>Betriebsleiter, Datum:</v>
      </c>
      <c r="C64" s="30"/>
      <c r="D64" s="30"/>
      <c r="E64" s="30"/>
      <c r="F64" s="30" t="str">
        <f>+Inv!H82</f>
        <v>Unterschrift:</v>
      </c>
      <c r="G64" s="30"/>
      <c r="H64" s="30"/>
      <c r="I64" s="31"/>
    </row>
    <row r="65" spans="6:7" ht="6" customHeight="1">
      <c r="F65" s="10"/>
      <c r="G65" s="10"/>
    </row>
  </sheetData>
  <phoneticPr fontId="59" type="noConversion"/>
  <pageMargins left="0.59055118110236227" right="0.39370078740157483" top="0.39370078740157483" bottom="0.32" header="0.11811023622047245" footer="0.11811023622047245"/>
  <pageSetup paperSize="9" scale="83" orientation="portrait" r:id="rId1"/>
  <headerFooter alignWithMargins="0">
    <oddFooter>&amp;C&amp;9&amp;F&amp;L&amp;"Arial,Fett"&amp;11AGRIDEA &amp;"Arial,Standard"&amp;9Impex, Version 2.6&amp;R&amp;"Arial,Standard"&amp;9&amp;D / Seite &amp;P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pageSetUpPr fitToPage="1"/>
  </sheetPr>
  <dimension ref="B1:I65"/>
  <sheetViews>
    <sheetView showGridLines="0" showRowColHeaders="0" workbookViewId="0">
      <selection activeCell="B14" sqref="B14"/>
    </sheetView>
  </sheetViews>
  <sheetFormatPr baseColWidth="10" defaultColWidth="11.42578125" defaultRowHeight="12.75"/>
  <cols>
    <col min="1" max="1" width="1.42578125" style="1" customWidth="1"/>
    <col min="2" max="9" width="12.5703125" style="1" customWidth="1"/>
    <col min="10" max="10" width="1.42578125" style="1" customWidth="1"/>
    <col min="11" max="16384" width="11.42578125" style="1"/>
  </cols>
  <sheetData>
    <row r="1" spans="2:9" ht="43.7" customHeight="1">
      <c r="D1" s="186" t="str">
        <f>+A2a!D1</f>
        <v>Impex:   Mastpoulets</v>
      </c>
      <c r="I1" s="187" t="str">
        <f>"BX4: "&amp;Textes!A100</f>
        <v>BX4: Mischfutterzufuhr</v>
      </c>
    </row>
    <row r="2" spans="2:9" ht="15">
      <c r="B2" s="679" t="str">
        <f>Inv!C4&amp;IF(Inv!D4=0,"",Inv!D4)</f>
        <v xml:space="preserve">Betriebs-Nr:    </v>
      </c>
      <c r="C2" s="191"/>
      <c r="D2" s="680"/>
      <c r="E2" s="681"/>
      <c r="F2" s="682" t="str">
        <f>Inv!C5&amp;IF(Inv!D5=0,"",Inv!D6&amp;" "&amp;Inv!D5)</f>
        <v xml:space="preserve">Name:    </v>
      </c>
      <c r="H2" s="110"/>
    </row>
    <row r="3" spans="2:9" s="6" customFormat="1">
      <c r="B3" s="1"/>
      <c r="C3" s="1"/>
      <c r="D3" s="1"/>
      <c r="E3" s="1"/>
      <c r="F3" s="1"/>
      <c r="G3" s="1"/>
      <c r="H3" s="1"/>
      <c r="I3" s="1"/>
    </row>
    <row r="4" spans="2:9" ht="14.25">
      <c r="B4" s="222" t="str">
        <f>+'BX2'!B4</f>
        <v>Futterlieferant</v>
      </c>
      <c r="C4" s="223"/>
      <c r="D4" s="222" t="str">
        <f>+B4</f>
        <v>Futterlieferant</v>
      </c>
      <c r="E4" s="223"/>
      <c r="F4" s="222" t="str">
        <f>+D4</f>
        <v>Futterlieferant</v>
      </c>
      <c r="G4" s="223"/>
      <c r="H4" s="222" t="str">
        <f>+F4</f>
        <v>Futterlieferant</v>
      </c>
      <c r="I4" s="223"/>
    </row>
    <row r="5" spans="2:9" s="7" customFormat="1" ht="18">
      <c r="B5" s="226"/>
      <c r="C5" s="198"/>
      <c r="D5" s="226"/>
      <c r="E5" s="198"/>
      <c r="F5" s="226"/>
      <c r="G5" s="198"/>
      <c r="H5" s="226"/>
      <c r="I5" s="198"/>
    </row>
    <row r="6" spans="2:9" s="6" customFormat="1" ht="15">
      <c r="B6" s="232" t="str">
        <f>IF(Inv!B56=0,"",Inv!B56)</f>
        <v/>
      </c>
      <c r="C6" s="195"/>
      <c r="D6" s="232" t="str">
        <f>IF(Inv!B57=0,"",Inv!B57)</f>
        <v/>
      </c>
      <c r="E6" s="195"/>
      <c r="F6" s="232" t="str">
        <f>IF(Inv!B58=0,"",Inv!B58)</f>
        <v/>
      </c>
      <c r="G6" s="195"/>
      <c r="H6" s="232" t="str">
        <f>IF(Inv!B59=0,"",Inv!B59)</f>
        <v/>
      </c>
      <c r="I6" s="195"/>
    </row>
    <row r="7" spans="2:9" s="42" customFormat="1" ht="15">
      <c r="B7" s="112" t="str">
        <f>+'BX2'!B7</f>
        <v>TS in %</v>
      </c>
      <c r="C7" s="113" t="str">
        <f>IF(Inv!F56=0,"",Inv!F56)</f>
        <v/>
      </c>
      <c r="D7" s="112" t="str">
        <f>+B7</f>
        <v>TS in %</v>
      </c>
      <c r="E7" s="114" t="str">
        <f>IF(Inv!F57=0,"",Inv!F57)</f>
        <v/>
      </c>
      <c r="F7" s="112" t="str">
        <f>+B7</f>
        <v>TS in %</v>
      </c>
      <c r="G7" s="114" t="str">
        <f>IF(Inv!F58=0,"",Inv!F58)</f>
        <v/>
      </c>
      <c r="H7" s="112" t="str">
        <f>+B7</f>
        <v>TS in %</v>
      </c>
      <c r="I7" s="114" t="str">
        <f>IF(Inv!F59=0,"",Inv!F59)</f>
        <v/>
      </c>
    </row>
    <row r="8" spans="2:9" s="42" customFormat="1" ht="15">
      <c r="B8" s="196" t="str">
        <f>+'BX2'!B8</f>
        <v>pro kg Futter</v>
      </c>
      <c r="C8" s="197"/>
      <c r="D8" s="196" t="str">
        <f>+B8</f>
        <v>pro kg Futter</v>
      </c>
      <c r="E8" s="197"/>
      <c r="F8" s="196" t="str">
        <f>+D8</f>
        <v>pro kg Futter</v>
      </c>
      <c r="G8" s="197"/>
      <c r="H8" s="196" t="str">
        <f>+F8</f>
        <v>pro kg Futter</v>
      </c>
      <c r="I8" s="197"/>
    </row>
    <row r="9" spans="2:9" ht="14.25">
      <c r="B9" s="115" t="str">
        <f>'BX1'!B9</f>
        <v>MJ UEG</v>
      </c>
      <c r="C9" s="116" t="str">
        <f>IF(Inv!G56=0,"",Inv!G56)</f>
        <v/>
      </c>
      <c r="D9" s="115" t="str">
        <f>'BX1'!B9</f>
        <v>MJ UEG</v>
      </c>
      <c r="E9" s="116" t="str">
        <f>IF(Inv!G57=0,"",Inv!G57)</f>
        <v/>
      </c>
      <c r="F9" s="115" t="str">
        <f>'BX1'!B9</f>
        <v>MJ UEG</v>
      </c>
      <c r="G9" s="116" t="str">
        <f>IF(Inv!G58=0,"",Inv!G58)</f>
        <v/>
      </c>
      <c r="H9" s="115" t="str">
        <f>'BX1'!B9</f>
        <v>MJ UEG</v>
      </c>
      <c r="I9" s="116" t="str">
        <f>IF(Inv!G59=0,"",Inv!G59)</f>
        <v/>
      </c>
    </row>
    <row r="10" spans="2:9" s="8" customFormat="1" ht="14.25">
      <c r="B10" s="115" t="str">
        <f>'BX1'!B10</f>
        <v>g RP</v>
      </c>
      <c r="C10" s="111" t="str">
        <f>IF(Inv!H56=0,"",Inv!H56)</f>
        <v/>
      </c>
      <c r="D10" s="115" t="str">
        <f>'BX1'!B10</f>
        <v>g RP</v>
      </c>
      <c r="E10" s="111" t="str">
        <f>IF(Inv!H57=0,"",Inv!H57)</f>
        <v/>
      </c>
      <c r="F10" s="115" t="str">
        <f>'BX1'!B10</f>
        <v>g RP</v>
      </c>
      <c r="G10" s="111" t="str">
        <f>IF(Inv!H58=0,"",Inv!H58)</f>
        <v/>
      </c>
      <c r="H10" s="115" t="str">
        <f>'BX1'!B10</f>
        <v>g RP</v>
      </c>
      <c r="I10" s="111" t="str">
        <f>IF(Inv!H59=0,"",Inv!H59)</f>
        <v/>
      </c>
    </row>
    <row r="11" spans="2:9" s="8" customFormat="1" ht="14.25">
      <c r="B11" s="117" t="str">
        <f>'BX1'!B11</f>
        <v>g P</v>
      </c>
      <c r="C11" s="61" t="str">
        <f>IF(Inv!I56=0,"",Inv!I56)</f>
        <v/>
      </c>
      <c r="D11" s="117" t="str">
        <f>'BX1'!B11</f>
        <v>g P</v>
      </c>
      <c r="E11" s="61" t="str">
        <f>IF(Inv!I57=0,"",Inv!I57)</f>
        <v/>
      </c>
      <c r="F11" s="117" t="str">
        <f>'BX1'!B11</f>
        <v>g P</v>
      </c>
      <c r="G11" s="61" t="str">
        <f>IF(Inv!I58=0,"",Inv!I58)</f>
        <v/>
      </c>
      <c r="H11" s="117" t="str">
        <f>'BX1'!B11</f>
        <v>g P</v>
      </c>
      <c r="I11" s="61" t="str">
        <f>IF(Inv!I59=0,"",Inv!I59)</f>
        <v/>
      </c>
    </row>
    <row r="12" spans="2:9" ht="14.25">
      <c r="B12" s="48" t="str">
        <f>+'BX2'!B12</f>
        <v>Datum</v>
      </c>
      <c r="C12" s="49" t="str">
        <f>+'BX2'!C12</f>
        <v>kg Futter</v>
      </c>
      <c r="D12" s="48" t="str">
        <f t="shared" ref="D12:I12" si="0">+B12</f>
        <v>Datum</v>
      </c>
      <c r="E12" s="49" t="str">
        <f t="shared" si="0"/>
        <v>kg Futter</v>
      </c>
      <c r="F12" s="48" t="str">
        <f t="shared" si="0"/>
        <v>Datum</v>
      </c>
      <c r="G12" s="49" t="str">
        <f t="shared" si="0"/>
        <v>kg Futter</v>
      </c>
      <c r="H12" s="48" t="str">
        <f t="shared" si="0"/>
        <v>Datum</v>
      </c>
      <c r="I12" s="49" t="str">
        <f t="shared" si="0"/>
        <v>kg Futter</v>
      </c>
    </row>
    <row r="13" spans="2:9" s="9" customFormat="1" ht="15" hidden="1" customHeight="1">
      <c r="B13" s="269"/>
      <c r="C13" s="266"/>
      <c r="D13" s="284"/>
      <c r="E13" s="266"/>
      <c r="F13" s="284"/>
      <c r="G13" s="266"/>
      <c r="H13" s="284"/>
      <c r="I13" s="266"/>
    </row>
    <row r="14" spans="2:9" s="9" customFormat="1" ht="15" customHeight="1">
      <c r="B14" s="269"/>
      <c r="C14" s="266"/>
      <c r="D14" s="284"/>
      <c r="E14" s="266"/>
      <c r="F14" s="284"/>
      <c r="G14" s="266"/>
      <c r="H14" s="284"/>
      <c r="I14" s="266"/>
    </row>
    <row r="15" spans="2:9" s="9" customFormat="1" ht="15" customHeight="1">
      <c r="B15" s="274"/>
      <c r="C15" s="267"/>
      <c r="D15" s="274"/>
      <c r="E15" s="267"/>
      <c r="F15" s="285"/>
      <c r="G15" s="267"/>
      <c r="H15" s="274"/>
      <c r="I15" s="267"/>
    </row>
    <row r="16" spans="2:9" s="9" customFormat="1" ht="15" customHeight="1">
      <c r="B16" s="269"/>
      <c r="C16" s="266"/>
      <c r="D16" s="269"/>
      <c r="E16" s="266"/>
      <c r="F16" s="269"/>
      <c r="G16" s="266"/>
      <c r="H16" s="269"/>
      <c r="I16" s="266"/>
    </row>
    <row r="17" spans="2:9" s="9" customFormat="1" ht="15" customHeight="1">
      <c r="B17" s="269"/>
      <c r="C17" s="266"/>
      <c r="D17" s="269"/>
      <c r="E17" s="266"/>
      <c r="F17" s="269"/>
      <c r="G17" s="266"/>
      <c r="H17" s="269"/>
      <c r="I17" s="266"/>
    </row>
    <row r="18" spans="2:9" s="9" customFormat="1" ht="15" customHeight="1">
      <c r="B18" s="269"/>
      <c r="C18" s="266"/>
      <c r="D18" s="269"/>
      <c r="E18" s="266"/>
      <c r="F18" s="269"/>
      <c r="G18" s="266"/>
      <c r="H18" s="269"/>
      <c r="I18" s="266"/>
    </row>
    <row r="19" spans="2:9" s="9" customFormat="1" ht="15" customHeight="1">
      <c r="B19" s="269"/>
      <c r="C19" s="266"/>
      <c r="D19" s="269"/>
      <c r="E19" s="266"/>
      <c r="F19" s="269"/>
      <c r="G19" s="266"/>
      <c r="H19" s="269"/>
      <c r="I19" s="266"/>
    </row>
    <row r="20" spans="2:9" s="9" customFormat="1" ht="15" customHeight="1">
      <c r="B20" s="269"/>
      <c r="C20" s="266"/>
      <c r="D20" s="269"/>
      <c r="E20" s="266"/>
      <c r="F20" s="269"/>
      <c r="G20" s="266"/>
      <c r="H20" s="269"/>
      <c r="I20" s="266"/>
    </row>
    <row r="21" spans="2:9" s="9" customFormat="1" ht="15" customHeight="1">
      <c r="B21" s="269"/>
      <c r="C21" s="266"/>
      <c r="D21" s="269"/>
      <c r="E21" s="266"/>
      <c r="F21" s="269"/>
      <c r="G21" s="266"/>
      <c r="H21" s="269"/>
      <c r="I21" s="266"/>
    </row>
    <row r="22" spans="2:9" s="9" customFormat="1" ht="15" customHeight="1">
      <c r="B22" s="269"/>
      <c r="C22" s="266"/>
      <c r="D22" s="269"/>
      <c r="E22" s="266"/>
      <c r="F22" s="269"/>
      <c r="G22" s="266"/>
      <c r="H22" s="269"/>
      <c r="I22" s="266"/>
    </row>
    <row r="23" spans="2:9" s="9" customFormat="1" ht="15" customHeight="1">
      <c r="B23" s="269"/>
      <c r="C23" s="266"/>
      <c r="D23" s="269"/>
      <c r="E23" s="266"/>
      <c r="F23" s="269"/>
      <c r="G23" s="266"/>
      <c r="H23" s="269"/>
      <c r="I23" s="266"/>
    </row>
    <row r="24" spans="2:9" s="9" customFormat="1" ht="15" customHeight="1">
      <c r="B24" s="269"/>
      <c r="C24" s="266"/>
      <c r="D24" s="269"/>
      <c r="E24" s="266"/>
      <c r="F24" s="269"/>
      <c r="G24" s="266"/>
      <c r="H24" s="269"/>
      <c r="I24" s="266"/>
    </row>
    <row r="25" spans="2:9" s="9" customFormat="1" ht="15" customHeight="1">
      <c r="B25" s="269"/>
      <c r="C25" s="266"/>
      <c r="D25" s="269"/>
      <c r="E25" s="266"/>
      <c r="F25" s="269"/>
      <c r="G25" s="266"/>
      <c r="H25" s="269"/>
      <c r="I25" s="266"/>
    </row>
    <row r="26" spans="2:9" s="9" customFormat="1" ht="15" customHeight="1">
      <c r="B26" s="269"/>
      <c r="C26" s="266"/>
      <c r="D26" s="269"/>
      <c r="E26" s="266"/>
      <c r="F26" s="269"/>
      <c r="G26" s="266"/>
      <c r="H26" s="269"/>
      <c r="I26" s="266"/>
    </row>
    <row r="27" spans="2:9" s="9" customFormat="1" ht="15" customHeight="1">
      <c r="B27" s="269"/>
      <c r="C27" s="266"/>
      <c r="D27" s="269"/>
      <c r="E27" s="266"/>
      <c r="F27" s="269"/>
      <c r="G27" s="266"/>
      <c r="H27" s="269"/>
      <c r="I27" s="266"/>
    </row>
    <row r="28" spans="2:9" s="9" customFormat="1" ht="15" customHeight="1">
      <c r="B28" s="269"/>
      <c r="C28" s="266"/>
      <c r="D28" s="269"/>
      <c r="E28" s="266"/>
      <c r="F28" s="269"/>
      <c r="G28" s="266"/>
      <c r="H28" s="269"/>
      <c r="I28" s="266"/>
    </row>
    <row r="29" spans="2:9" s="9" customFormat="1" ht="15" customHeight="1">
      <c r="B29" s="269"/>
      <c r="C29" s="266"/>
      <c r="D29" s="269"/>
      <c r="E29" s="266"/>
      <c r="F29" s="269"/>
      <c r="G29" s="266"/>
      <c r="H29" s="269"/>
      <c r="I29" s="266"/>
    </row>
    <row r="30" spans="2:9" s="9" customFormat="1" ht="15" customHeight="1">
      <c r="B30" s="269"/>
      <c r="C30" s="266"/>
      <c r="D30" s="269"/>
      <c r="E30" s="266"/>
      <c r="F30" s="269"/>
      <c r="G30" s="266"/>
      <c r="H30" s="269"/>
      <c r="I30" s="266"/>
    </row>
    <row r="31" spans="2:9" s="9" customFormat="1" ht="15" customHeight="1">
      <c r="B31" s="269"/>
      <c r="C31" s="266"/>
      <c r="D31" s="269"/>
      <c r="E31" s="266"/>
      <c r="F31" s="269"/>
      <c r="G31" s="266"/>
      <c r="H31" s="269"/>
      <c r="I31" s="266"/>
    </row>
    <row r="32" spans="2:9" s="9" customFormat="1" ht="15" customHeight="1">
      <c r="B32" s="269"/>
      <c r="C32" s="266"/>
      <c r="D32" s="269"/>
      <c r="E32" s="266"/>
      <c r="F32" s="269"/>
      <c r="G32" s="266"/>
      <c r="H32" s="269"/>
      <c r="I32" s="266"/>
    </row>
    <row r="33" spans="2:9" s="9" customFormat="1" ht="15" customHeight="1">
      <c r="B33" s="269"/>
      <c r="C33" s="266"/>
      <c r="D33" s="269"/>
      <c r="E33" s="266"/>
      <c r="F33" s="269"/>
      <c r="G33" s="266"/>
      <c r="H33" s="269"/>
      <c r="I33" s="266"/>
    </row>
    <row r="34" spans="2:9" s="9" customFormat="1" ht="15" customHeight="1">
      <c r="B34" s="269"/>
      <c r="C34" s="266"/>
      <c r="D34" s="269"/>
      <c r="E34" s="266"/>
      <c r="F34" s="269"/>
      <c r="G34" s="266"/>
      <c r="H34" s="269"/>
      <c r="I34" s="266"/>
    </row>
    <row r="35" spans="2:9" s="9" customFormat="1" ht="15" customHeight="1">
      <c r="B35" s="269"/>
      <c r="C35" s="266"/>
      <c r="D35" s="269"/>
      <c r="E35" s="266"/>
      <c r="F35" s="269"/>
      <c r="G35" s="266"/>
      <c r="H35" s="269"/>
      <c r="I35" s="266"/>
    </row>
    <row r="36" spans="2:9" s="9" customFormat="1" ht="15" customHeight="1">
      <c r="B36" s="269"/>
      <c r="C36" s="266"/>
      <c r="D36" s="269"/>
      <c r="E36" s="266"/>
      <c r="F36" s="269"/>
      <c r="G36" s="266"/>
      <c r="H36" s="269"/>
      <c r="I36" s="266"/>
    </row>
    <row r="37" spans="2:9" s="9" customFormat="1" ht="15" customHeight="1">
      <c r="B37" s="269"/>
      <c r="C37" s="266"/>
      <c r="D37" s="269"/>
      <c r="E37" s="266"/>
      <c r="F37" s="269"/>
      <c r="G37" s="266"/>
      <c r="H37" s="269"/>
      <c r="I37" s="266"/>
    </row>
    <row r="38" spans="2:9" s="9" customFormat="1" ht="15" customHeight="1">
      <c r="B38" s="269"/>
      <c r="C38" s="266"/>
      <c r="D38" s="269"/>
      <c r="E38" s="266"/>
      <c r="F38" s="269"/>
      <c r="G38" s="266"/>
      <c r="H38" s="269"/>
      <c r="I38" s="266"/>
    </row>
    <row r="39" spans="2:9" s="9" customFormat="1" ht="15" customHeight="1">
      <c r="B39" s="269"/>
      <c r="C39" s="266"/>
      <c r="D39" s="269"/>
      <c r="E39" s="266"/>
      <c r="F39" s="269"/>
      <c r="G39" s="266"/>
      <c r="H39" s="269"/>
      <c r="I39" s="266"/>
    </row>
    <row r="40" spans="2:9" s="9" customFormat="1" ht="15" customHeight="1">
      <c r="B40" s="269"/>
      <c r="C40" s="266"/>
      <c r="D40" s="269"/>
      <c r="E40" s="266"/>
      <c r="F40" s="269"/>
      <c r="G40" s="266"/>
      <c r="H40" s="269"/>
      <c r="I40" s="266"/>
    </row>
    <row r="41" spans="2:9" s="9" customFormat="1" ht="15" customHeight="1">
      <c r="B41" s="269"/>
      <c r="C41" s="266"/>
      <c r="D41" s="269"/>
      <c r="E41" s="266"/>
      <c r="F41" s="269"/>
      <c r="G41" s="266"/>
      <c r="H41" s="269"/>
      <c r="I41" s="266"/>
    </row>
    <row r="42" spans="2:9" s="9" customFormat="1" ht="15" customHeight="1">
      <c r="B42" s="269"/>
      <c r="C42" s="266"/>
      <c r="D42" s="269"/>
      <c r="E42" s="266"/>
      <c r="F42" s="269"/>
      <c r="G42" s="266"/>
      <c r="H42" s="269"/>
      <c r="I42" s="266"/>
    </row>
    <row r="43" spans="2:9" s="9" customFormat="1" ht="15" customHeight="1">
      <c r="B43" s="269"/>
      <c r="C43" s="266"/>
      <c r="D43" s="269"/>
      <c r="E43" s="266"/>
      <c r="F43" s="269"/>
      <c r="G43" s="266"/>
      <c r="H43" s="269"/>
      <c r="I43" s="266"/>
    </row>
    <row r="44" spans="2:9" s="9" customFormat="1" ht="15" customHeight="1">
      <c r="B44" s="269"/>
      <c r="C44" s="266"/>
      <c r="D44" s="269"/>
      <c r="E44" s="266"/>
      <c r="F44" s="269"/>
      <c r="G44" s="266"/>
      <c r="H44" s="269"/>
      <c r="I44" s="266"/>
    </row>
    <row r="45" spans="2:9" s="9" customFormat="1" ht="15" customHeight="1">
      <c r="B45" s="269"/>
      <c r="C45" s="266"/>
      <c r="D45" s="269"/>
      <c r="E45" s="266"/>
      <c r="F45" s="269"/>
      <c r="G45" s="266"/>
      <c r="H45" s="269"/>
      <c r="I45" s="266"/>
    </row>
    <row r="46" spans="2:9" s="9" customFormat="1" ht="15" customHeight="1">
      <c r="B46" s="269"/>
      <c r="C46" s="266"/>
      <c r="D46" s="269"/>
      <c r="E46" s="266"/>
      <c r="F46" s="269"/>
      <c r="G46" s="266"/>
      <c r="H46" s="269"/>
      <c r="I46" s="266"/>
    </row>
    <row r="47" spans="2:9" s="9" customFormat="1" ht="15" customHeight="1">
      <c r="B47" s="269"/>
      <c r="C47" s="266"/>
      <c r="D47" s="269"/>
      <c r="E47" s="266"/>
      <c r="F47" s="269"/>
      <c r="G47" s="266"/>
      <c r="H47" s="269"/>
      <c r="I47" s="266"/>
    </row>
    <row r="48" spans="2:9" s="9" customFormat="1" ht="15" customHeight="1">
      <c r="B48" s="269"/>
      <c r="C48" s="266"/>
      <c r="D48" s="269"/>
      <c r="E48" s="266"/>
      <c r="F48" s="269"/>
      <c r="G48" s="266"/>
      <c r="H48" s="269"/>
      <c r="I48" s="266"/>
    </row>
    <row r="49" spans="2:9" s="9" customFormat="1" ht="15" customHeight="1">
      <c r="B49" s="269"/>
      <c r="C49" s="266"/>
      <c r="D49" s="269"/>
      <c r="E49" s="266"/>
      <c r="F49" s="269"/>
      <c r="G49" s="266"/>
      <c r="H49" s="269"/>
      <c r="I49" s="266"/>
    </row>
    <row r="50" spans="2:9" s="9" customFormat="1" ht="15" customHeight="1">
      <c r="B50" s="269"/>
      <c r="C50" s="266"/>
      <c r="D50" s="269"/>
      <c r="E50" s="266"/>
      <c r="F50" s="269"/>
      <c r="G50" s="266"/>
      <c r="H50" s="269"/>
      <c r="I50" s="266"/>
    </row>
    <row r="51" spans="2:9" s="9" customFormat="1" ht="15" customHeight="1">
      <c r="B51" s="269"/>
      <c r="C51" s="266"/>
      <c r="D51" s="269"/>
      <c r="E51" s="266"/>
      <c r="F51" s="269"/>
      <c r="G51" s="266"/>
      <c r="H51" s="269"/>
      <c r="I51" s="266"/>
    </row>
    <row r="52" spans="2:9" s="9" customFormat="1" ht="15" customHeight="1">
      <c r="B52" s="269"/>
      <c r="C52" s="266"/>
      <c r="D52" s="269"/>
      <c r="E52" s="266"/>
      <c r="F52" s="269"/>
      <c r="G52" s="266"/>
      <c r="H52" s="269"/>
      <c r="I52" s="266"/>
    </row>
    <row r="53" spans="2:9" s="9" customFormat="1" ht="15" customHeight="1">
      <c r="B53" s="269"/>
      <c r="C53" s="266"/>
      <c r="D53" s="269"/>
      <c r="E53" s="266"/>
      <c r="F53" s="269"/>
      <c r="G53" s="266"/>
      <c r="H53" s="269"/>
      <c r="I53" s="266"/>
    </row>
    <row r="54" spans="2:9" s="9" customFormat="1" ht="15" customHeight="1">
      <c r="B54" s="269"/>
      <c r="C54" s="266"/>
      <c r="D54" s="269"/>
      <c r="E54" s="266"/>
      <c r="F54" s="269"/>
      <c r="G54" s="266"/>
      <c r="H54" s="269"/>
      <c r="I54" s="266"/>
    </row>
    <row r="55" spans="2:9" s="9" customFormat="1" ht="15" customHeight="1">
      <c r="B55" s="269"/>
      <c r="C55" s="266"/>
      <c r="D55" s="269"/>
      <c r="E55" s="266"/>
      <c r="F55" s="269"/>
      <c r="G55" s="266"/>
      <c r="H55" s="269"/>
      <c r="I55" s="266"/>
    </row>
    <row r="56" spans="2:9" s="9" customFormat="1" ht="15" customHeight="1">
      <c r="B56" s="269"/>
      <c r="C56" s="266"/>
      <c r="D56" s="269"/>
      <c r="E56" s="266"/>
      <c r="F56" s="269"/>
      <c r="G56" s="266"/>
      <c r="H56" s="269"/>
      <c r="I56" s="266"/>
    </row>
    <row r="57" spans="2:9" s="9" customFormat="1" ht="15" customHeight="1">
      <c r="B57" s="269"/>
      <c r="C57" s="266"/>
      <c r="D57" s="269"/>
      <c r="E57" s="266"/>
      <c r="F57" s="269"/>
      <c r="G57" s="266"/>
      <c r="H57" s="269"/>
      <c r="I57" s="266"/>
    </row>
    <row r="58" spans="2:9" s="3" customFormat="1" ht="14.25">
      <c r="B58" s="27" t="str">
        <f>+'BX2'!B58</f>
        <v>Total Zufuhr</v>
      </c>
      <c r="C58" s="275">
        <f>IF(SUM(C13:C57)=0,0,SUM(C13:C57))</f>
        <v>0</v>
      </c>
      <c r="D58" s="27" t="str">
        <f>+B58</f>
        <v>Total Zufuhr</v>
      </c>
      <c r="E58" s="276">
        <f>IF(SUM(E13:E57)=0,0,SUM(E13:E57))</f>
        <v>0</v>
      </c>
      <c r="F58" s="27" t="str">
        <f>+D58</f>
        <v>Total Zufuhr</v>
      </c>
      <c r="G58" s="275">
        <f>IF(SUM(G13:G57)=0,0,SUM(G13:G57))</f>
        <v>0</v>
      </c>
      <c r="H58" s="27" t="str">
        <f>+F58</f>
        <v>Total Zufuhr</v>
      </c>
      <c r="I58" s="276">
        <f>IF(SUM(I13:I57)=0,0,SUM(I13:I57))</f>
        <v>0</v>
      </c>
    </row>
    <row r="59" spans="2:9" s="3" customFormat="1" ht="11.25"/>
    <row r="60" spans="2:9" ht="18" customHeight="1">
      <c r="B60" s="6" t="str">
        <f>+'BX1'!B60</f>
        <v>Es müssen alle eingesetzten Futtermittel erfasst werden.</v>
      </c>
    </row>
    <row r="61" spans="2:9" s="3" customFormat="1" ht="4.5" customHeight="1">
      <c r="E61" s="5"/>
    </row>
    <row r="62" spans="2:9" ht="21" customHeight="1">
      <c r="B62" s="29" t="str">
        <f>+Inv!B80</f>
        <v>Kantonale Kontrollstelle, Datum:</v>
      </c>
      <c r="C62" s="30"/>
      <c r="D62" s="30"/>
      <c r="E62" s="30"/>
      <c r="F62" s="30" t="str">
        <f>+Inv!H80</f>
        <v>Unterschrift:</v>
      </c>
      <c r="G62" s="30"/>
      <c r="H62" s="30"/>
      <c r="I62" s="31"/>
    </row>
    <row r="63" spans="2:9" ht="4.5" customHeight="1"/>
    <row r="64" spans="2:9" ht="21" customHeight="1">
      <c r="B64" s="29" t="str">
        <f>+Inv!B82</f>
        <v>Betriebsleiter, Datum:</v>
      </c>
      <c r="C64" s="30"/>
      <c r="D64" s="30"/>
      <c r="E64" s="30"/>
      <c r="F64" s="30" t="str">
        <f>+Inv!H82</f>
        <v>Unterschrift:</v>
      </c>
      <c r="G64" s="30"/>
      <c r="H64" s="30"/>
      <c r="I64" s="31"/>
    </row>
    <row r="65" spans="6:7" ht="6" customHeight="1">
      <c r="F65" s="10"/>
      <c r="G65" s="10"/>
    </row>
  </sheetData>
  <phoneticPr fontId="59" type="noConversion"/>
  <pageMargins left="0.59055118110236227" right="0.39370078740157483" top="0.39370078740157483" bottom="0.32" header="0.11811023622047245" footer="0.11811023622047245"/>
  <pageSetup paperSize="9" scale="83" orientation="portrait" r:id="rId1"/>
  <headerFooter alignWithMargins="0">
    <oddFooter>&amp;C&amp;9&amp;F&amp;L&amp;"Arial,Fett"&amp;11AGRIDEA &amp;"Arial,Standard"&amp;9Impex, Version 2.6&amp;R&amp;"Arial,Standard"&amp;9&amp;D / Seite &amp;P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B1:I65"/>
  <sheetViews>
    <sheetView showGridLines="0" showRowColHeaders="0" showZeros="0" workbookViewId="0">
      <selection activeCell="B12" sqref="B12"/>
    </sheetView>
  </sheetViews>
  <sheetFormatPr baseColWidth="10" defaultColWidth="11.42578125" defaultRowHeight="12.75"/>
  <cols>
    <col min="1" max="1" width="1.42578125" style="1" customWidth="1"/>
    <col min="2" max="9" width="12.5703125" style="1" customWidth="1"/>
    <col min="10" max="10" width="1.42578125" style="1" customWidth="1"/>
    <col min="11" max="16384" width="11.42578125" style="1"/>
  </cols>
  <sheetData>
    <row r="1" spans="2:9" ht="43.7" customHeight="1">
      <c r="D1" s="186" t="str">
        <f>+A2a!D1</f>
        <v>Impex:   Mastpoulets</v>
      </c>
      <c r="I1" s="187" t="str">
        <f>"B5: "&amp;Textes!A101</f>
        <v>B5: Futterzufuhr</v>
      </c>
    </row>
    <row r="2" spans="2:9" ht="15">
      <c r="B2" s="679" t="str">
        <f>Inv!C4&amp;IF(Inv!D4=0,"",Inv!D4)</f>
        <v xml:space="preserve">Betriebs-Nr:    </v>
      </c>
      <c r="C2" s="191"/>
      <c r="D2" s="680"/>
      <c r="E2" s="681"/>
      <c r="F2" s="682" t="str">
        <f>Inv!C5&amp;IF(Inv!D5=0,"",Inv!D6&amp;" "&amp;Inv!D5)</f>
        <v xml:space="preserve">Name:    </v>
      </c>
      <c r="H2" s="110"/>
    </row>
    <row r="3" spans="2:9" s="3" customFormat="1" ht="12.75" customHeight="1">
      <c r="B3" s="2"/>
      <c r="H3" s="4"/>
      <c r="I3" s="5"/>
    </row>
    <row r="4" spans="2:9" s="7" customFormat="1" ht="18">
      <c r="B4" s="228" t="str">
        <f>IF(Inv!B63=0,"",Inv!B63)</f>
        <v/>
      </c>
      <c r="C4" s="199"/>
      <c r="D4" s="228" t="str">
        <f>IF(Inv!B64=0,"",Inv!B64)</f>
        <v/>
      </c>
      <c r="E4" s="199"/>
      <c r="F4" s="228" t="str">
        <f>IF(Inv!B65=0,"",Inv!B65)</f>
        <v/>
      </c>
      <c r="G4" s="199"/>
      <c r="H4" s="228" t="str">
        <f>IF(Inv!B66=0,"",Inv!B66)</f>
        <v/>
      </c>
      <c r="I4" s="199"/>
    </row>
    <row r="5" spans="2:9" s="8" customFormat="1" ht="14.25">
      <c r="B5" s="26" t="str">
        <f>+Inv!F26</f>
        <v>TS in %</v>
      </c>
      <c r="C5" s="128" t="str">
        <f>IF(Inv!F63=0,"",Inv!F63)</f>
        <v/>
      </c>
      <c r="D5" s="26" t="str">
        <f>+B5</f>
        <v>TS in %</v>
      </c>
      <c r="E5" s="128" t="str">
        <f>IF(Inv!F64=0,"",Inv!F64)</f>
        <v/>
      </c>
      <c r="F5" s="26" t="str">
        <f>+D5</f>
        <v>TS in %</v>
      </c>
      <c r="G5" s="104" t="str">
        <f>IF(Inv!F65=0,"",Inv!F65)</f>
        <v/>
      </c>
      <c r="H5" s="26" t="str">
        <f>+F5</f>
        <v>TS in %</v>
      </c>
      <c r="I5" s="104" t="str">
        <f>IF(Inv!F66=0,"",Inv!F66)</f>
        <v/>
      </c>
    </row>
    <row r="6" spans="2:9" s="8" customFormat="1" ht="14.25">
      <c r="B6" s="200" t="str">
        <f>+Textes!A113</f>
        <v>pro kg TS</v>
      </c>
      <c r="C6" s="201"/>
      <c r="D6" s="200" t="str">
        <f>+B6</f>
        <v>pro kg TS</v>
      </c>
      <c r="E6" s="201"/>
      <c r="F6" s="200" t="str">
        <f>+D6</f>
        <v>pro kg TS</v>
      </c>
      <c r="G6" s="201"/>
      <c r="H6" s="200" t="str">
        <f>+F6</f>
        <v>pro kg TS</v>
      </c>
      <c r="I6" s="201"/>
    </row>
    <row r="7" spans="2:9" s="8" customFormat="1" ht="14.25">
      <c r="B7" s="23" t="str">
        <f>'B1'!B9</f>
        <v>MJ UEG</v>
      </c>
      <c r="C7" s="116" t="str">
        <f>IF(Inv!G63=0,"",Inv!G63)</f>
        <v/>
      </c>
      <c r="D7" s="23" t="str">
        <f>'B1'!B9</f>
        <v>MJ UEG</v>
      </c>
      <c r="E7" s="116" t="str">
        <f>IF(Inv!G64=0,"",Inv!G64)</f>
        <v/>
      </c>
      <c r="F7" s="23" t="str">
        <f>'B1'!B9</f>
        <v>MJ UEG</v>
      </c>
      <c r="G7" s="116" t="str">
        <f>IF(Inv!G65=0,"",Inv!G65)</f>
        <v/>
      </c>
      <c r="H7" s="23" t="str">
        <f>'B1'!B9</f>
        <v>MJ UEG</v>
      </c>
      <c r="I7" s="116" t="str">
        <f>IF(Inv!G66=0,"",Inv!G66)</f>
        <v/>
      </c>
    </row>
    <row r="8" spans="2:9" s="8" customFormat="1" ht="14.25">
      <c r="B8" s="24" t="str">
        <f>'B1'!B10</f>
        <v>g RP</v>
      </c>
      <c r="C8" s="114" t="str">
        <f>IF(Inv!H63=0,"",Inv!H63)</f>
        <v/>
      </c>
      <c r="D8" s="24" t="str">
        <f>'B1'!B10</f>
        <v>g RP</v>
      </c>
      <c r="E8" s="114" t="str">
        <f>IF(Inv!H64=0,"",Inv!H64)</f>
        <v/>
      </c>
      <c r="F8" s="24" t="str">
        <f>'B1'!B10</f>
        <v>g RP</v>
      </c>
      <c r="G8" s="114" t="str">
        <f>IF(Inv!H65=0,"",Inv!H65)</f>
        <v/>
      </c>
      <c r="H8" s="24" t="str">
        <f>'B1'!B10</f>
        <v>g RP</v>
      </c>
      <c r="I8" s="114" t="str">
        <f>IF(Inv!H66=0,"",Inv!H66)</f>
        <v/>
      </c>
    </row>
    <row r="9" spans="2:9" s="8" customFormat="1" ht="14.25">
      <c r="B9" s="25" t="str">
        <f>'B1'!B11</f>
        <v>g P</v>
      </c>
      <c r="C9" s="129" t="str">
        <f>IF(Inv!I63=0,"",Inv!I63)</f>
        <v/>
      </c>
      <c r="D9" s="25" t="str">
        <f>'B1'!B11</f>
        <v>g P</v>
      </c>
      <c r="E9" s="129" t="str">
        <f>IF(Inv!I64=0,"",Inv!I64)</f>
        <v/>
      </c>
      <c r="F9" s="25" t="str">
        <f>'B1'!B11</f>
        <v>g P</v>
      </c>
      <c r="G9" s="129" t="str">
        <f>IF(Inv!I65=0,"",Inv!I65)</f>
        <v/>
      </c>
      <c r="H9" s="25" t="str">
        <f>'B1'!B11</f>
        <v>g P</v>
      </c>
      <c r="I9" s="129" t="str">
        <f>IF(Inv!I66=0,"",Inv!I66)</f>
        <v/>
      </c>
    </row>
    <row r="10" spans="2:9" ht="14.25">
      <c r="B10" s="33" t="str">
        <f>+Textes!A104</f>
        <v>Datum</v>
      </c>
      <c r="C10" s="34" t="str">
        <f>+Textes!A112</f>
        <v>kg FS</v>
      </c>
      <c r="D10" s="33" t="str">
        <f t="shared" ref="D10:I10" si="0">+B10</f>
        <v>Datum</v>
      </c>
      <c r="E10" s="34" t="str">
        <f t="shared" si="0"/>
        <v>kg FS</v>
      </c>
      <c r="F10" s="33" t="str">
        <f t="shared" si="0"/>
        <v>Datum</v>
      </c>
      <c r="G10" s="34" t="str">
        <f t="shared" si="0"/>
        <v>kg FS</v>
      </c>
      <c r="H10" s="33" t="str">
        <f t="shared" si="0"/>
        <v>Datum</v>
      </c>
      <c r="I10" s="34" t="str">
        <f t="shared" si="0"/>
        <v>kg FS</v>
      </c>
    </row>
    <row r="11" spans="2:9" s="9" customFormat="1" ht="15" hidden="1" customHeight="1">
      <c r="B11" s="269"/>
      <c r="C11" s="266"/>
      <c r="D11" s="269"/>
      <c r="E11" s="266"/>
      <c r="F11" s="269"/>
      <c r="G11" s="266"/>
      <c r="H11" s="269"/>
      <c r="I11" s="266"/>
    </row>
    <row r="12" spans="2:9" s="9" customFormat="1" ht="15" customHeight="1">
      <c r="B12" s="269"/>
      <c r="C12" s="266"/>
      <c r="D12" s="269"/>
      <c r="E12" s="266"/>
      <c r="F12" s="269"/>
      <c r="G12" s="266"/>
      <c r="H12" s="269"/>
      <c r="I12" s="266"/>
    </row>
    <row r="13" spans="2:9" s="9" customFormat="1" ht="15" customHeight="1">
      <c r="B13" s="269"/>
      <c r="C13" s="266"/>
      <c r="D13" s="269"/>
      <c r="E13" s="266"/>
      <c r="F13" s="269"/>
      <c r="G13" s="266"/>
      <c r="H13" s="269"/>
      <c r="I13" s="266"/>
    </row>
    <row r="14" spans="2:9" s="9" customFormat="1" ht="15" customHeight="1">
      <c r="B14" s="269"/>
      <c r="C14" s="266"/>
      <c r="D14" s="269"/>
      <c r="E14" s="266"/>
      <c r="F14" s="269"/>
      <c r="G14" s="266"/>
      <c r="H14" s="269"/>
      <c r="I14" s="266"/>
    </row>
    <row r="15" spans="2:9" s="9" customFormat="1" ht="15" customHeight="1">
      <c r="B15" s="269"/>
      <c r="C15" s="266"/>
      <c r="D15" s="269"/>
      <c r="E15" s="266"/>
      <c r="F15" s="269"/>
      <c r="G15" s="266"/>
      <c r="H15" s="269"/>
      <c r="I15" s="266"/>
    </row>
    <row r="16" spans="2:9" s="9" customFormat="1" ht="15" customHeight="1">
      <c r="B16" s="269"/>
      <c r="C16" s="266"/>
      <c r="D16" s="269"/>
      <c r="E16" s="266"/>
      <c r="F16" s="269"/>
      <c r="G16" s="266"/>
      <c r="H16" s="269"/>
      <c r="I16" s="266"/>
    </row>
    <row r="17" spans="2:9" s="9" customFormat="1" ht="15" customHeight="1">
      <c r="B17" s="269"/>
      <c r="C17" s="266"/>
      <c r="D17" s="269"/>
      <c r="E17" s="266"/>
      <c r="F17" s="269"/>
      <c r="G17" s="266"/>
      <c r="H17" s="269"/>
      <c r="I17" s="266"/>
    </row>
    <row r="18" spans="2:9" s="9" customFormat="1" ht="15" customHeight="1">
      <c r="B18" s="269"/>
      <c r="C18" s="266"/>
      <c r="D18" s="269"/>
      <c r="E18" s="266"/>
      <c r="F18" s="269"/>
      <c r="G18" s="266"/>
      <c r="H18" s="269"/>
      <c r="I18" s="266"/>
    </row>
    <row r="19" spans="2:9" s="9" customFormat="1" ht="15" customHeight="1">
      <c r="B19" s="269"/>
      <c r="C19" s="266"/>
      <c r="D19" s="269"/>
      <c r="E19" s="266"/>
      <c r="F19" s="269"/>
      <c r="G19" s="266"/>
      <c r="H19" s="269"/>
      <c r="I19" s="266"/>
    </row>
    <row r="20" spans="2:9" s="9" customFormat="1" ht="15" customHeight="1">
      <c r="B20" s="269"/>
      <c r="C20" s="266"/>
      <c r="D20" s="269"/>
      <c r="E20" s="266"/>
      <c r="F20" s="269"/>
      <c r="G20" s="266"/>
      <c r="H20" s="269"/>
      <c r="I20" s="266"/>
    </row>
    <row r="21" spans="2:9" s="9" customFormat="1" ht="15" customHeight="1">
      <c r="B21" s="269"/>
      <c r="C21" s="266"/>
      <c r="D21" s="269"/>
      <c r="E21" s="266"/>
      <c r="F21" s="269"/>
      <c r="G21" s="266"/>
      <c r="H21" s="269"/>
      <c r="I21" s="266"/>
    </row>
    <row r="22" spans="2:9" s="9" customFormat="1" ht="15" customHeight="1">
      <c r="B22" s="269"/>
      <c r="C22" s="266"/>
      <c r="D22" s="269"/>
      <c r="E22" s="266"/>
      <c r="F22" s="269"/>
      <c r="G22" s="266"/>
      <c r="H22" s="269"/>
      <c r="I22" s="266"/>
    </row>
    <row r="23" spans="2:9" s="9" customFormat="1" ht="15" customHeight="1">
      <c r="B23" s="269"/>
      <c r="C23" s="266"/>
      <c r="D23" s="269"/>
      <c r="E23" s="266"/>
      <c r="F23" s="269"/>
      <c r="G23" s="266"/>
      <c r="H23" s="269"/>
      <c r="I23" s="266"/>
    </row>
    <row r="24" spans="2:9" s="9" customFormat="1" ht="15" customHeight="1">
      <c r="B24" s="269"/>
      <c r="C24" s="266"/>
      <c r="D24" s="269"/>
      <c r="E24" s="266"/>
      <c r="F24" s="269"/>
      <c r="G24" s="266"/>
      <c r="H24" s="269"/>
      <c r="I24" s="266"/>
    </row>
    <row r="25" spans="2:9" s="9" customFormat="1" ht="15" customHeight="1">
      <c r="B25" s="269"/>
      <c r="C25" s="266"/>
      <c r="D25" s="269"/>
      <c r="E25" s="266"/>
      <c r="F25" s="269"/>
      <c r="G25" s="266"/>
      <c r="H25" s="269"/>
      <c r="I25" s="266"/>
    </row>
    <row r="26" spans="2:9" s="9" customFormat="1" ht="15" customHeight="1">
      <c r="B26" s="269"/>
      <c r="C26" s="266"/>
      <c r="D26" s="269"/>
      <c r="E26" s="266"/>
      <c r="F26" s="269"/>
      <c r="G26" s="266"/>
      <c r="H26" s="269"/>
      <c r="I26" s="266"/>
    </row>
    <row r="27" spans="2:9" s="9" customFormat="1" ht="15" customHeight="1">
      <c r="B27" s="269"/>
      <c r="C27" s="266"/>
      <c r="D27" s="269"/>
      <c r="E27" s="266"/>
      <c r="F27" s="269"/>
      <c r="G27" s="266"/>
      <c r="H27" s="269"/>
      <c r="I27" s="266"/>
    </row>
    <row r="28" spans="2:9" s="9" customFormat="1" ht="15" customHeight="1">
      <c r="B28" s="269"/>
      <c r="C28" s="266"/>
      <c r="D28" s="269"/>
      <c r="E28" s="266"/>
      <c r="F28" s="269"/>
      <c r="G28" s="266"/>
      <c r="H28" s="269"/>
      <c r="I28" s="266"/>
    </row>
    <row r="29" spans="2:9" s="9" customFormat="1" ht="15" customHeight="1">
      <c r="B29" s="269"/>
      <c r="C29" s="266"/>
      <c r="D29" s="269"/>
      <c r="E29" s="266"/>
      <c r="F29" s="269"/>
      <c r="G29" s="266"/>
      <c r="H29" s="269"/>
      <c r="I29" s="266"/>
    </row>
    <row r="30" spans="2:9" s="9" customFormat="1" ht="15" customHeight="1">
      <c r="B30" s="269"/>
      <c r="C30" s="266"/>
      <c r="D30" s="269"/>
      <c r="E30" s="266"/>
      <c r="F30" s="269"/>
      <c r="G30" s="266"/>
      <c r="H30" s="269"/>
      <c r="I30" s="266"/>
    </row>
    <row r="31" spans="2:9" s="9" customFormat="1" ht="15" customHeight="1">
      <c r="B31" s="269"/>
      <c r="C31" s="266"/>
      <c r="D31" s="269"/>
      <c r="E31" s="266"/>
      <c r="F31" s="269"/>
      <c r="G31" s="266"/>
      <c r="H31" s="269"/>
      <c r="I31" s="266"/>
    </row>
    <row r="32" spans="2:9" s="9" customFormat="1" ht="15" customHeight="1">
      <c r="B32" s="269"/>
      <c r="C32" s="266"/>
      <c r="D32" s="269"/>
      <c r="E32" s="266"/>
      <c r="F32" s="269"/>
      <c r="G32" s="266"/>
      <c r="H32" s="269"/>
      <c r="I32" s="266"/>
    </row>
    <row r="33" spans="2:9" s="9" customFormat="1" ht="15" customHeight="1">
      <c r="B33" s="269"/>
      <c r="C33" s="266"/>
      <c r="D33" s="269"/>
      <c r="E33" s="266"/>
      <c r="F33" s="269"/>
      <c r="G33" s="266"/>
      <c r="H33" s="269"/>
      <c r="I33" s="266"/>
    </row>
    <row r="34" spans="2:9" s="9" customFormat="1" ht="15" customHeight="1">
      <c r="B34" s="269"/>
      <c r="C34" s="266"/>
      <c r="D34" s="269"/>
      <c r="E34" s="266"/>
      <c r="F34" s="269"/>
      <c r="G34" s="266"/>
      <c r="H34" s="269"/>
      <c r="I34" s="266"/>
    </row>
    <row r="35" spans="2:9" s="9" customFormat="1" ht="15" customHeight="1">
      <c r="B35" s="269"/>
      <c r="C35" s="266"/>
      <c r="D35" s="269"/>
      <c r="E35" s="266"/>
      <c r="F35" s="269"/>
      <c r="G35" s="266"/>
      <c r="H35" s="269"/>
      <c r="I35" s="266"/>
    </row>
    <row r="36" spans="2:9" s="9" customFormat="1" ht="15" customHeight="1">
      <c r="B36" s="269"/>
      <c r="C36" s="266"/>
      <c r="D36" s="269"/>
      <c r="E36" s="266"/>
      <c r="F36" s="269"/>
      <c r="G36" s="266"/>
      <c r="H36" s="269"/>
      <c r="I36" s="266"/>
    </row>
    <row r="37" spans="2:9" s="9" customFormat="1" ht="15" customHeight="1">
      <c r="B37" s="269"/>
      <c r="C37" s="266"/>
      <c r="D37" s="269"/>
      <c r="E37" s="266"/>
      <c r="F37" s="269"/>
      <c r="G37" s="266"/>
      <c r="H37" s="269"/>
      <c r="I37" s="266"/>
    </row>
    <row r="38" spans="2:9" s="9" customFormat="1" ht="15" customHeight="1">
      <c r="B38" s="269"/>
      <c r="C38" s="266"/>
      <c r="D38" s="269"/>
      <c r="E38" s="266"/>
      <c r="F38" s="269"/>
      <c r="G38" s="266"/>
      <c r="H38" s="269"/>
      <c r="I38" s="266"/>
    </row>
    <row r="39" spans="2:9" s="9" customFormat="1" ht="15" customHeight="1">
      <c r="B39" s="269"/>
      <c r="C39" s="266"/>
      <c r="D39" s="269"/>
      <c r="E39" s="266"/>
      <c r="F39" s="269"/>
      <c r="G39" s="266"/>
      <c r="H39" s="269"/>
      <c r="I39" s="266"/>
    </row>
    <row r="40" spans="2:9" s="9" customFormat="1" ht="15" customHeight="1">
      <c r="B40" s="269"/>
      <c r="C40" s="266"/>
      <c r="D40" s="269"/>
      <c r="E40" s="266"/>
      <c r="F40" s="269"/>
      <c r="G40" s="266"/>
      <c r="H40" s="269"/>
      <c r="I40" s="266"/>
    </row>
    <row r="41" spans="2:9" s="9" customFormat="1" ht="15" customHeight="1">
      <c r="B41" s="269"/>
      <c r="C41" s="266"/>
      <c r="D41" s="269"/>
      <c r="E41" s="266"/>
      <c r="F41" s="269"/>
      <c r="G41" s="266"/>
      <c r="H41" s="269"/>
      <c r="I41" s="266"/>
    </row>
    <row r="42" spans="2:9" s="9" customFormat="1" ht="15" customHeight="1">
      <c r="B42" s="269"/>
      <c r="C42" s="266"/>
      <c r="D42" s="269"/>
      <c r="E42" s="266"/>
      <c r="F42" s="269"/>
      <c r="G42" s="266"/>
      <c r="H42" s="269"/>
      <c r="I42" s="266"/>
    </row>
    <row r="43" spans="2:9" s="9" customFormat="1" ht="15" customHeight="1">
      <c r="B43" s="269"/>
      <c r="C43" s="266"/>
      <c r="D43" s="269"/>
      <c r="E43" s="266"/>
      <c r="F43" s="269"/>
      <c r="G43" s="266"/>
      <c r="H43" s="269"/>
      <c r="I43" s="266"/>
    </row>
    <row r="44" spans="2:9" s="9" customFormat="1" ht="15" customHeight="1">
      <c r="B44" s="269"/>
      <c r="C44" s="266"/>
      <c r="D44" s="269"/>
      <c r="E44" s="266"/>
      <c r="F44" s="269"/>
      <c r="G44" s="266"/>
      <c r="H44" s="269"/>
      <c r="I44" s="266"/>
    </row>
    <row r="45" spans="2:9" s="9" customFormat="1" ht="15" customHeight="1">
      <c r="B45" s="269"/>
      <c r="C45" s="266"/>
      <c r="D45" s="269"/>
      <c r="E45" s="266"/>
      <c r="F45" s="269"/>
      <c r="G45" s="266"/>
      <c r="H45" s="269"/>
      <c r="I45" s="266"/>
    </row>
    <row r="46" spans="2:9" s="9" customFormat="1" ht="15" customHeight="1">
      <c r="B46" s="269"/>
      <c r="C46" s="266"/>
      <c r="D46" s="269"/>
      <c r="E46" s="266"/>
      <c r="F46" s="269"/>
      <c r="G46" s="266"/>
      <c r="H46" s="269"/>
      <c r="I46" s="266"/>
    </row>
    <row r="47" spans="2:9" s="9" customFormat="1" ht="15" customHeight="1">
      <c r="B47" s="269"/>
      <c r="C47" s="266"/>
      <c r="D47" s="269"/>
      <c r="E47" s="266"/>
      <c r="F47" s="269"/>
      <c r="G47" s="266"/>
      <c r="H47" s="269"/>
      <c r="I47" s="266"/>
    </row>
    <row r="48" spans="2:9" s="9" customFormat="1" ht="15" customHeight="1">
      <c r="B48" s="269"/>
      <c r="C48" s="266"/>
      <c r="D48" s="269"/>
      <c r="E48" s="266"/>
      <c r="F48" s="269"/>
      <c r="G48" s="266"/>
      <c r="H48" s="269"/>
      <c r="I48" s="266"/>
    </row>
    <row r="49" spans="2:9" s="9" customFormat="1" ht="15" customHeight="1">
      <c r="B49" s="269"/>
      <c r="C49" s="266"/>
      <c r="D49" s="269"/>
      <c r="E49" s="266"/>
      <c r="F49" s="269"/>
      <c r="G49" s="266"/>
      <c r="H49" s="269"/>
      <c r="I49" s="266"/>
    </row>
    <row r="50" spans="2:9" s="9" customFormat="1" ht="15" customHeight="1">
      <c r="B50" s="269"/>
      <c r="C50" s="266"/>
      <c r="D50" s="269"/>
      <c r="E50" s="266"/>
      <c r="F50" s="269"/>
      <c r="G50" s="266"/>
      <c r="H50" s="269"/>
      <c r="I50" s="266"/>
    </row>
    <row r="51" spans="2:9" s="9" customFormat="1" ht="15" customHeight="1">
      <c r="B51" s="269"/>
      <c r="C51" s="266"/>
      <c r="D51" s="269"/>
      <c r="E51" s="266"/>
      <c r="F51" s="269"/>
      <c r="G51" s="266"/>
      <c r="H51" s="269"/>
      <c r="I51" s="266"/>
    </row>
    <row r="52" spans="2:9" s="9" customFormat="1" ht="15" customHeight="1">
      <c r="B52" s="269"/>
      <c r="C52" s="266"/>
      <c r="D52" s="269"/>
      <c r="E52" s="266"/>
      <c r="F52" s="269"/>
      <c r="G52" s="266"/>
      <c r="H52" s="269"/>
      <c r="I52" s="266"/>
    </row>
    <row r="53" spans="2:9" s="9" customFormat="1" ht="15" customHeight="1">
      <c r="B53" s="269"/>
      <c r="C53" s="266"/>
      <c r="D53" s="269"/>
      <c r="E53" s="266"/>
      <c r="F53" s="269"/>
      <c r="G53" s="266"/>
      <c r="H53" s="269"/>
      <c r="I53" s="266"/>
    </row>
    <row r="54" spans="2:9" s="9" customFormat="1" ht="15" customHeight="1">
      <c r="B54" s="269"/>
      <c r="C54" s="266"/>
      <c r="D54" s="269"/>
      <c r="E54" s="266"/>
      <c r="F54" s="269"/>
      <c r="G54" s="266"/>
      <c r="H54" s="269"/>
      <c r="I54" s="266"/>
    </row>
    <row r="55" spans="2:9" s="9" customFormat="1" ht="15" customHeight="1">
      <c r="B55" s="269"/>
      <c r="C55" s="266"/>
      <c r="D55" s="269"/>
      <c r="E55" s="266"/>
      <c r="F55" s="269"/>
      <c r="G55" s="266"/>
      <c r="H55" s="269"/>
      <c r="I55" s="266"/>
    </row>
    <row r="56" spans="2:9" s="9" customFormat="1" ht="15" customHeight="1">
      <c r="B56" s="269"/>
      <c r="C56" s="266"/>
      <c r="D56" s="269"/>
      <c r="E56" s="266"/>
      <c r="F56" s="269"/>
      <c r="G56" s="266"/>
      <c r="H56" s="269"/>
      <c r="I56" s="266"/>
    </row>
    <row r="57" spans="2:9" s="9" customFormat="1" ht="15" customHeight="1">
      <c r="B57" s="269"/>
      <c r="C57" s="354"/>
      <c r="D57" s="269"/>
      <c r="E57" s="266"/>
      <c r="F57" s="269"/>
      <c r="G57" s="266"/>
      <c r="H57" s="269"/>
      <c r="I57" s="266"/>
    </row>
    <row r="58" spans="2:9" s="3" customFormat="1" ht="14.25">
      <c r="B58" s="27" t="str">
        <f>+Textes!A110</f>
        <v>In kg FS</v>
      </c>
      <c r="C58" s="273">
        <f>IF(SUM(C11:C57)=0,0,SUM(C11:C57))</f>
        <v>0</v>
      </c>
      <c r="D58" s="27" t="str">
        <f>+B58</f>
        <v>In kg FS</v>
      </c>
      <c r="E58" s="271">
        <f>IF(SUM(E11:E57)=0,0,SUM(E11:E57))</f>
        <v>0</v>
      </c>
      <c r="F58" s="27" t="str">
        <f>+D58</f>
        <v>In kg FS</v>
      </c>
      <c r="G58" s="271">
        <f>IF(SUM(G11:G57)=0,0,SUM(G11:G57))</f>
        <v>0</v>
      </c>
      <c r="H58" s="27" t="str">
        <f>+F58</f>
        <v>In kg FS</v>
      </c>
      <c r="I58" s="271">
        <f>IF(SUM(I11:I57)=0,0,SUM(I11:I57))</f>
        <v>0</v>
      </c>
    </row>
    <row r="59" spans="2:9" s="3" customFormat="1" ht="14.25">
      <c r="B59" s="27" t="str">
        <f>+Textes!A111</f>
        <v>In kg TS</v>
      </c>
      <c r="C59" s="273">
        <f>IF(SUM(C11:C57)=0,0,SUM(C11:C57)*C5/100)</f>
        <v>0</v>
      </c>
      <c r="D59" s="27" t="str">
        <f>+B59</f>
        <v>In kg TS</v>
      </c>
      <c r="E59" s="271">
        <f>IF(SUM(E11:E57)=0,0,(SUM(E11:E57)*E5/100))</f>
        <v>0</v>
      </c>
      <c r="F59" s="27" t="str">
        <f>+D59</f>
        <v>In kg TS</v>
      </c>
      <c r="G59" s="271">
        <f>IF(SUM(G11:G57)=0,0,SUM(G11:G57)*G5/100)</f>
        <v>0</v>
      </c>
      <c r="H59" s="28" t="str">
        <f>+F59</f>
        <v>In kg TS</v>
      </c>
      <c r="I59" s="271">
        <f>IF(SUM(I11:I57)=0,0,SUM(I11:I57)*I5/100)</f>
        <v>0</v>
      </c>
    </row>
    <row r="60" spans="2:9" ht="18" customHeight="1">
      <c r="B60" s="6" t="str">
        <f>+'B3'!B60</f>
        <v>Es müssen alle eingesetzten Futtermittel erfasst werden.</v>
      </c>
    </row>
    <row r="61" spans="2:9" s="3" customFormat="1" ht="4.5" customHeight="1">
      <c r="E61" s="5"/>
    </row>
    <row r="62" spans="2:9" ht="21" customHeight="1">
      <c r="B62" s="29" t="str">
        <f>+Inv!B80</f>
        <v>Kantonale Kontrollstelle, Datum:</v>
      </c>
      <c r="C62" s="30"/>
      <c r="D62" s="30"/>
      <c r="E62" s="30"/>
      <c r="F62" s="30" t="str">
        <f>+Inv!H80</f>
        <v>Unterschrift:</v>
      </c>
      <c r="G62" s="30"/>
      <c r="H62" s="30"/>
      <c r="I62" s="31"/>
    </row>
    <row r="63" spans="2:9" ht="4.5" customHeight="1"/>
    <row r="64" spans="2:9" ht="21" customHeight="1">
      <c r="B64" s="29" t="str">
        <f>+Inv!B82</f>
        <v>Betriebsleiter, Datum:</v>
      </c>
      <c r="C64" s="30"/>
      <c r="D64" s="30"/>
      <c r="E64" s="30"/>
      <c r="F64" s="30" t="str">
        <f>+F62</f>
        <v>Unterschrift:</v>
      </c>
      <c r="G64" s="30"/>
      <c r="H64" s="30"/>
      <c r="I64" s="31"/>
    </row>
    <row r="65" ht="6" customHeight="1"/>
  </sheetData>
  <sheetProtection password="8C69" sheet="1" scenarios="1"/>
  <phoneticPr fontId="28" type="noConversion"/>
  <pageMargins left="0.59055118110236227" right="0.39370078740157483" top="0.39370078740157483" bottom="0.32" header="0.11811023622047245" footer="0.11811023622047245"/>
  <pageSetup paperSize="9" scale="83" orientation="portrait" r:id="rId1"/>
  <headerFooter alignWithMargins="0">
    <oddFooter>&amp;C&amp;9&amp;F&amp;L&amp;"Arial,Fett"&amp;11AGRIDEA &amp;"Arial,Standard"&amp;9Impex, Version 2.6&amp;R&amp;"Arial,Standard"&amp;9&amp;D / Seite &amp;P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B1:I65"/>
  <sheetViews>
    <sheetView showGridLines="0" showRowColHeaders="0" workbookViewId="0">
      <selection activeCell="B12" sqref="B12"/>
    </sheetView>
  </sheetViews>
  <sheetFormatPr baseColWidth="10" defaultColWidth="11.42578125" defaultRowHeight="12.75"/>
  <cols>
    <col min="1" max="1" width="1.42578125" style="1" customWidth="1"/>
    <col min="2" max="9" width="12.5703125" style="1" customWidth="1"/>
    <col min="10" max="10" width="1.42578125" style="1" customWidth="1"/>
    <col min="11" max="16384" width="11.42578125" style="1"/>
  </cols>
  <sheetData>
    <row r="1" spans="2:9" ht="43.7" customHeight="1">
      <c r="D1" s="186" t="str">
        <f>+A2a!D1</f>
        <v>Impex:   Mastpoulets</v>
      </c>
      <c r="I1" s="187" t="str">
        <f>"BX5: "&amp;Textes!A101</f>
        <v>BX5: Futterzufuhr</v>
      </c>
    </row>
    <row r="2" spans="2:9" ht="15">
      <c r="B2" s="679" t="str">
        <f>Inv!C4&amp;IF(Inv!D4=0,"",Inv!D4)</f>
        <v xml:space="preserve">Betriebs-Nr:    </v>
      </c>
      <c r="C2" s="191"/>
      <c r="D2" s="680"/>
      <c r="E2" s="681"/>
      <c r="F2" s="682" t="str">
        <f>Inv!C5&amp;IF(Inv!D5=0,"",Inv!D6&amp;" "&amp;Inv!D5)</f>
        <v xml:space="preserve">Name:    </v>
      </c>
      <c r="H2" s="110"/>
    </row>
    <row r="3" spans="2:9" s="3" customFormat="1" ht="12.75" customHeight="1">
      <c r="B3" s="2"/>
      <c r="H3" s="4"/>
      <c r="I3" s="5"/>
    </row>
    <row r="4" spans="2:9" s="7" customFormat="1" ht="18">
      <c r="B4" s="228" t="str">
        <f>IF(Inv!B67=0,"",Inv!B67)</f>
        <v/>
      </c>
      <c r="C4" s="199"/>
      <c r="D4" s="228" t="str">
        <f>IF(Inv!B68=0,"",Inv!B68)</f>
        <v/>
      </c>
      <c r="E4" s="199"/>
      <c r="F4" s="228" t="str">
        <f>IF(Inv!B69=0,"",Inv!B69)</f>
        <v/>
      </c>
      <c r="G4" s="199"/>
      <c r="H4" s="228" t="str">
        <f>IF(Inv!B70=0,"",Inv!B70)</f>
        <v/>
      </c>
      <c r="I4" s="199"/>
    </row>
    <row r="5" spans="2:9" s="8" customFormat="1" ht="14.25">
      <c r="B5" s="26" t="str">
        <f>+Inv!F26</f>
        <v>TS in %</v>
      </c>
      <c r="C5" s="128" t="str">
        <f>IF(Inv!F67=0,"",Inv!F67)</f>
        <v/>
      </c>
      <c r="D5" s="26" t="str">
        <f>+B5</f>
        <v>TS in %</v>
      </c>
      <c r="E5" s="128" t="str">
        <f>IF(Inv!F68=0,"",Inv!F68)</f>
        <v/>
      </c>
      <c r="F5" s="26" t="str">
        <f>+D5</f>
        <v>TS in %</v>
      </c>
      <c r="G5" s="104" t="str">
        <f>IF(Inv!F69=0,"",Inv!F69)</f>
        <v/>
      </c>
      <c r="H5" s="26" t="str">
        <f>+F5</f>
        <v>TS in %</v>
      </c>
      <c r="I5" s="104" t="str">
        <f>IF(Inv!F70=0,"",Inv!F70)</f>
        <v/>
      </c>
    </row>
    <row r="6" spans="2:9" s="8" customFormat="1" ht="14.25">
      <c r="B6" s="200" t="str">
        <f>+Textes!A113</f>
        <v>pro kg TS</v>
      </c>
      <c r="C6" s="201"/>
      <c r="D6" s="200" t="str">
        <f>+B6</f>
        <v>pro kg TS</v>
      </c>
      <c r="E6" s="201"/>
      <c r="F6" s="200" t="str">
        <f>+D6</f>
        <v>pro kg TS</v>
      </c>
      <c r="G6" s="201"/>
      <c r="H6" s="200" t="str">
        <f>+F6</f>
        <v>pro kg TS</v>
      </c>
      <c r="I6" s="201"/>
    </row>
    <row r="7" spans="2:9" s="8" customFormat="1" ht="14.25">
      <c r="B7" s="23" t="str">
        <f>'BX1'!B9</f>
        <v>MJ UEG</v>
      </c>
      <c r="C7" s="116" t="str">
        <f>IF(Inv!G67=0,"",Inv!G67)</f>
        <v/>
      </c>
      <c r="D7" s="23" t="str">
        <f>'BX1'!B9</f>
        <v>MJ UEG</v>
      </c>
      <c r="E7" s="116" t="str">
        <f>IF(Inv!G68=0,"",Inv!G68)</f>
        <v/>
      </c>
      <c r="F7" s="23" t="str">
        <f>'BX1'!B9</f>
        <v>MJ UEG</v>
      </c>
      <c r="G7" s="116" t="str">
        <f>IF(Inv!G69=0,"",Inv!G69)</f>
        <v/>
      </c>
      <c r="H7" s="23" t="str">
        <f>'BX1'!B9</f>
        <v>MJ UEG</v>
      </c>
      <c r="I7" s="116" t="str">
        <f>IF(Inv!G70=0,"",Inv!G70)</f>
        <v/>
      </c>
    </row>
    <row r="8" spans="2:9" s="8" customFormat="1" ht="14.25">
      <c r="B8" s="24" t="str">
        <f>'BX1'!B10</f>
        <v>g RP</v>
      </c>
      <c r="C8" s="114" t="str">
        <f>IF(Inv!H67=0,"",Inv!H67)</f>
        <v/>
      </c>
      <c r="D8" s="24" t="str">
        <f>'BX1'!B10</f>
        <v>g RP</v>
      </c>
      <c r="E8" s="114" t="str">
        <f>IF(Inv!H68=0,"",Inv!H68)</f>
        <v/>
      </c>
      <c r="F8" s="24" t="str">
        <f>'BX1'!B10</f>
        <v>g RP</v>
      </c>
      <c r="G8" s="114" t="str">
        <f>IF(Inv!H69=0,"",Inv!H69)</f>
        <v/>
      </c>
      <c r="H8" s="24" t="str">
        <f>'BX1'!B10</f>
        <v>g RP</v>
      </c>
      <c r="I8" s="114" t="str">
        <f>IF(Inv!H70=0,"",Inv!H70)</f>
        <v/>
      </c>
    </row>
    <row r="9" spans="2:9" s="8" customFormat="1" ht="14.25">
      <c r="B9" s="25" t="str">
        <f>'BX1'!B11</f>
        <v>g P</v>
      </c>
      <c r="C9" s="129" t="str">
        <f>IF(Inv!I67=0,"",Inv!I67)</f>
        <v/>
      </c>
      <c r="D9" s="25" t="str">
        <f>'BX1'!B11</f>
        <v>g P</v>
      </c>
      <c r="E9" s="129" t="str">
        <f>IF(Inv!I68=0,"",Inv!I68)</f>
        <v/>
      </c>
      <c r="F9" s="25" t="str">
        <f>'BX1'!B11</f>
        <v>g P</v>
      </c>
      <c r="G9" s="129" t="str">
        <f>IF(Inv!I69=0,"",Inv!I69)</f>
        <v/>
      </c>
      <c r="H9" s="25" t="str">
        <f>'BX1'!B11</f>
        <v>g P</v>
      </c>
      <c r="I9" s="129" t="str">
        <f>IF(Inv!I70=0,"",Inv!I70)</f>
        <v/>
      </c>
    </row>
    <row r="10" spans="2:9" ht="14.25">
      <c r="B10" s="33" t="str">
        <f>+Textes!A104</f>
        <v>Datum</v>
      </c>
      <c r="C10" s="34" t="str">
        <f>+Textes!A112</f>
        <v>kg FS</v>
      </c>
      <c r="D10" s="33" t="str">
        <f t="shared" ref="D10:I10" si="0">+B10</f>
        <v>Datum</v>
      </c>
      <c r="E10" s="34" t="str">
        <f t="shared" si="0"/>
        <v>kg FS</v>
      </c>
      <c r="F10" s="33" t="str">
        <f t="shared" si="0"/>
        <v>Datum</v>
      </c>
      <c r="G10" s="34" t="str">
        <f t="shared" si="0"/>
        <v>kg FS</v>
      </c>
      <c r="H10" s="33" t="str">
        <f t="shared" si="0"/>
        <v>Datum</v>
      </c>
      <c r="I10" s="34" t="str">
        <f t="shared" si="0"/>
        <v>kg FS</v>
      </c>
    </row>
    <row r="11" spans="2:9" s="9" customFormat="1" ht="15" hidden="1" customHeight="1">
      <c r="B11" s="269"/>
      <c r="C11" s="266"/>
      <c r="D11" s="269"/>
      <c r="E11" s="266"/>
      <c r="F11" s="269"/>
      <c r="G11" s="266"/>
      <c r="H11" s="269"/>
      <c r="I11" s="266"/>
    </row>
    <row r="12" spans="2:9" s="9" customFormat="1" ht="15" customHeight="1">
      <c r="B12" s="269"/>
      <c r="C12" s="266"/>
      <c r="D12" s="269"/>
      <c r="E12" s="266"/>
      <c r="F12" s="269"/>
      <c r="G12" s="266"/>
      <c r="H12" s="269"/>
      <c r="I12" s="266"/>
    </row>
    <row r="13" spans="2:9" s="9" customFormat="1" ht="15" customHeight="1">
      <c r="B13" s="269"/>
      <c r="C13" s="266"/>
      <c r="D13" s="269"/>
      <c r="E13" s="266"/>
      <c r="F13" s="269"/>
      <c r="G13" s="266"/>
      <c r="H13" s="269"/>
      <c r="I13" s="266"/>
    </row>
    <row r="14" spans="2:9" s="9" customFormat="1" ht="15" customHeight="1">
      <c r="B14" s="269"/>
      <c r="C14" s="266"/>
      <c r="D14" s="269"/>
      <c r="E14" s="266"/>
      <c r="F14" s="269"/>
      <c r="G14" s="266"/>
      <c r="H14" s="269"/>
      <c r="I14" s="266"/>
    </row>
    <row r="15" spans="2:9" s="9" customFormat="1" ht="15" customHeight="1">
      <c r="B15" s="269"/>
      <c r="C15" s="266"/>
      <c r="D15" s="269"/>
      <c r="E15" s="266"/>
      <c r="F15" s="269"/>
      <c r="G15" s="266"/>
      <c r="H15" s="269"/>
      <c r="I15" s="266"/>
    </row>
    <row r="16" spans="2:9" s="9" customFormat="1" ht="15" customHeight="1">
      <c r="B16" s="269"/>
      <c r="C16" s="266"/>
      <c r="D16" s="269"/>
      <c r="E16" s="266"/>
      <c r="F16" s="269"/>
      <c r="G16" s="266"/>
      <c r="H16" s="269"/>
      <c r="I16" s="266"/>
    </row>
    <row r="17" spans="2:9" s="9" customFormat="1" ht="15" customHeight="1">
      <c r="B17" s="269"/>
      <c r="C17" s="266"/>
      <c r="D17" s="269"/>
      <c r="E17" s="266"/>
      <c r="F17" s="269"/>
      <c r="G17" s="266"/>
      <c r="H17" s="269"/>
      <c r="I17" s="266"/>
    </row>
    <row r="18" spans="2:9" s="9" customFormat="1" ht="15" customHeight="1">
      <c r="B18" s="269"/>
      <c r="C18" s="266"/>
      <c r="D18" s="269"/>
      <c r="E18" s="266"/>
      <c r="F18" s="269"/>
      <c r="G18" s="266"/>
      <c r="H18" s="269"/>
      <c r="I18" s="266"/>
    </row>
    <row r="19" spans="2:9" s="9" customFormat="1" ht="15" customHeight="1">
      <c r="B19" s="269"/>
      <c r="C19" s="266"/>
      <c r="D19" s="269"/>
      <c r="E19" s="266"/>
      <c r="F19" s="269"/>
      <c r="G19" s="266"/>
      <c r="H19" s="269"/>
      <c r="I19" s="266"/>
    </row>
    <row r="20" spans="2:9" s="9" customFormat="1" ht="15" customHeight="1">
      <c r="B20" s="269"/>
      <c r="C20" s="266"/>
      <c r="D20" s="269"/>
      <c r="E20" s="266"/>
      <c r="F20" s="269"/>
      <c r="G20" s="266"/>
      <c r="H20" s="269"/>
      <c r="I20" s="266"/>
    </row>
    <row r="21" spans="2:9" s="9" customFormat="1" ht="15" customHeight="1">
      <c r="B21" s="269"/>
      <c r="C21" s="266"/>
      <c r="D21" s="269"/>
      <c r="E21" s="266"/>
      <c r="F21" s="269"/>
      <c r="G21" s="266"/>
      <c r="H21" s="269"/>
      <c r="I21" s="266"/>
    </row>
    <row r="22" spans="2:9" s="9" customFormat="1" ht="15" customHeight="1">
      <c r="B22" s="269"/>
      <c r="C22" s="266"/>
      <c r="D22" s="269"/>
      <c r="E22" s="266"/>
      <c r="F22" s="269"/>
      <c r="G22" s="266"/>
      <c r="H22" s="269"/>
      <c r="I22" s="266"/>
    </row>
    <row r="23" spans="2:9" s="9" customFormat="1" ht="15" customHeight="1">
      <c r="B23" s="269"/>
      <c r="C23" s="266"/>
      <c r="D23" s="269"/>
      <c r="E23" s="266"/>
      <c r="F23" s="269"/>
      <c r="G23" s="266"/>
      <c r="H23" s="269"/>
      <c r="I23" s="266"/>
    </row>
    <row r="24" spans="2:9" s="9" customFormat="1" ht="15" customHeight="1">
      <c r="B24" s="269"/>
      <c r="C24" s="266"/>
      <c r="D24" s="269"/>
      <c r="E24" s="266"/>
      <c r="F24" s="269"/>
      <c r="G24" s="266"/>
      <c r="H24" s="269"/>
      <c r="I24" s="266"/>
    </row>
    <row r="25" spans="2:9" s="9" customFormat="1" ht="15" customHeight="1">
      <c r="B25" s="269"/>
      <c r="C25" s="266"/>
      <c r="D25" s="269"/>
      <c r="E25" s="266"/>
      <c r="F25" s="269"/>
      <c r="G25" s="266"/>
      <c r="H25" s="269"/>
      <c r="I25" s="266"/>
    </row>
    <row r="26" spans="2:9" s="9" customFormat="1" ht="15" customHeight="1">
      <c r="B26" s="269"/>
      <c r="C26" s="266"/>
      <c r="D26" s="269"/>
      <c r="E26" s="266"/>
      <c r="F26" s="269"/>
      <c r="G26" s="266"/>
      <c r="H26" s="269"/>
      <c r="I26" s="266"/>
    </row>
    <row r="27" spans="2:9" s="9" customFormat="1" ht="15" customHeight="1">
      <c r="B27" s="269"/>
      <c r="C27" s="266"/>
      <c r="D27" s="269"/>
      <c r="E27" s="266"/>
      <c r="F27" s="269"/>
      <c r="G27" s="266"/>
      <c r="H27" s="269"/>
      <c r="I27" s="266"/>
    </row>
    <row r="28" spans="2:9" s="9" customFormat="1" ht="15" customHeight="1">
      <c r="B28" s="269"/>
      <c r="C28" s="266"/>
      <c r="D28" s="269"/>
      <c r="E28" s="266"/>
      <c r="F28" s="269"/>
      <c r="G28" s="266"/>
      <c r="H28" s="269"/>
      <c r="I28" s="266"/>
    </row>
    <row r="29" spans="2:9" s="9" customFormat="1" ht="15" customHeight="1">
      <c r="B29" s="269"/>
      <c r="C29" s="266"/>
      <c r="D29" s="269"/>
      <c r="E29" s="266"/>
      <c r="F29" s="269"/>
      <c r="G29" s="266"/>
      <c r="H29" s="269"/>
      <c r="I29" s="266"/>
    </row>
    <row r="30" spans="2:9" s="9" customFormat="1" ht="15" customHeight="1">
      <c r="B30" s="269"/>
      <c r="C30" s="266"/>
      <c r="D30" s="269"/>
      <c r="E30" s="266"/>
      <c r="F30" s="269"/>
      <c r="G30" s="266"/>
      <c r="H30" s="269"/>
      <c r="I30" s="266"/>
    </row>
    <row r="31" spans="2:9" s="9" customFormat="1" ht="15" customHeight="1">
      <c r="B31" s="269"/>
      <c r="C31" s="266"/>
      <c r="D31" s="269"/>
      <c r="E31" s="266"/>
      <c r="F31" s="269"/>
      <c r="G31" s="266"/>
      <c r="H31" s="269"/>
      <c r="I31" s="266"/>
    </row>
    <row r="32" spans="2:9" s="9" customFormat="1" ht="15" customHeight="1">
      <c r="B32" s="269"/>
      <c r="C32" s="266"/>
      <c r="D32" s="269"/>
      <c r="E32" s="266"/>
      <c r="F32" s="269"/>
      <c r="G32" s="266"/>
      <c r="H32" s="269"/>
      <c r="I32" s="266"/>
    </row>
    <row r="33" spans="2:9" s="9" customFormat="1" ht="15" customHeight="1">
      <c r="B33" s="269"/>
      <c r="C33" s="266"/>
      <c r="D33" s="269"/>
      <c r="E33" s="266"/>
      <c r="F33" s="269"/>
      <c r="G33" s="266"/>
      <c r="H33" s="269"/>
      <c r="I33" s="266"/>
    </row>
    <row r="34" spans="2:9" s="9" customFormat="1" ht="15" customHeight="1">
      <c r="B34" s="269"/>
      <c r="C34" s="266"/>
      <c r="D34" s="269"/>
      <c r="E34" s="266"/>
      <c r="F34" s="269"/>
      <c r="G34" s="266"/>
      <c r="H34" s="269"/>
      <c r="I34" s="266"/>
    </row>
    <row r="35" spans="2:9" s="9" customFormat="1" ht="15" customHeight="1">
      <c r="B35" s="269"/>
      <c r="C35" s="266"/>
      <c r="D35" s="269"/>
      <c r="E35" s="266"/>
      <c r="F35" s="269"/>
      <c r="G35" s="266"/>
      <c r="H35" s="269"/>
      <c r="I35" s="266"/>
    </row>
    <row r="36" spans="2:9" s="9" customFormat="1" ht="15" customHeight="1">
      <c r="B36" s="269"/>
      <c r="C36" s="266"/>
      <c r="D36" s="269"/>
      <c r="E36" s="266"/>
      <c r="F36" s="269"/>
      <c r="G36" s="266"/>
      <c r="H36" s="269"/>
      <c r="I36" s="266"/>
    </row>
    <row r="37" spans="2:9" s="9" customFormat="1" ht="15" customHeight="1">
      <c r="B37" s="269"/>
      <c r="C37" s="266"/>
      <c r="D37" s="269"/>
      <c r="E37" s="266"/>
      <c r="F37" s="269"/>
      <c r="G37" s="266"/>
      <c r="H37" s="269"/>
      <c r="I37" s="266"/>
    </row>
    <row r="38" spans="2:9" s="9" customFormat="1" ht="15" customHeight="1">
      <c r="B38" s="269"/>
      <c r="C38" s="266"/>
      <c r="D38" s="269"/>
      <c r="E38" s="266"/>
      <c r="F38" s="269"/>
      <c r="G38" s="266"/>
      <c r="H38" s="269"/>
      <c r="I38" s="266"/>
    </row>
    <row r="39" spans="2:9" s="9" customFormat="1" ht="15" customHeight="1">
      <c r="B39" s="269"/>
      <c r="C39" s="266"/>
      <c r="D39" s="269"/>
      <c r="E39" s="266"/>
      <c r="F39" s="269"/>
      <c r="G39" s="266"/>
      <c r="H39" s="269"/>
      <c r="I39" s="266"/>
    </row>
    <row r="40" spans="2:9" s="9" customFormat="1" ht="15" customHeight="1">
      <c r="B40" s="269"/>
      <c r="C40" s="266"/>
      <c r="D40" s="269"/>
      <c r="E40" s="266"/>
      <c r="F40" s="269"/>
      <c r="G40" s="266"/>
      <c r="H40" s="269"/>
      <c r="I40" s="266"/>
    </row>
    <row r="41" spans="2:9" s="9" customFormat="1" ht="15" customHeight="1">
      <c r="B41" s="269"/>
      <c r="C41" s="266"/>
      <c r="D41" s="269"/>
      <c r="E41" s="266"/>
      <c r="F41" s="269"/>
      <c r="G41" s="266"/>
      <c r="H41" s="269"/>
      <c r="I41" s="266"/>
    </row>
    <row r="42" spans="2:9" s="9" customFormat="1" ht="15" customHeight="1">
      <c r="B42" s="269"/>
      <c r="C42" s="266"/>
      <c r="D42" s="269"/>
      <c r="E42" s="266"/>
      <c r="F42" s="269"/>
      <c r="G42" s="266"/>
      <c r="H42" s="269"/>
      <c r="I42" s="266"/>
    </row>
    <row r="43" spans="2:9" s="9" customFormat="1" ht="15" customHeight="1">
      <c r="B43" s="269"/>
      <c r="C43" s="266"/>
      <c r="D43" s="269"/>
      <c r="E43" s="266"/>
      <c r="F43" s="269"/>
      <c r="G43" s="266"/>
      <c r="H43" s="269"/>
      <c r="I43" s="266"/>
    </row>
    <row r="44" spans="2:9" s="9" customFormat="1" ht="15" customHeight="1">
      <c r="B44" s="269"/>
      <c r="C44" s="266"/>
      <c r="D44" s="269"/>
      <c r="E44" s="266"/>
      <c r="F44" s="269"/>
      <c r="G44" s="266"/>
      <c r="H44" s="269"/>
      <c r="I44" s="266"/>
    </row>
    <row r="45" spans="2:9" s="9" customFormat="1" ht="15" customHeight="1">
      <c r="B45" s="269"/>
      <c r="C45" s="266"/>
      <c r="D45" s="269"/>
      <c r="E45" s="266"/>
      <c r="F45" s="269"/>
      <c r="G45" s="266"/>
      <c r="H45" s="269"/>
      <c r="I45" s="266"/>
    </row>
    <row r="46" spans="2:9" s="9" customFormat="1" ht="15" customHeight="1">
      <c r="B46" s="269"/>
      <c r="C46" s="266"/>
      <c r="D46" s="269"/>
      <c r="E46" s="266"/>
      <c r="F46" s="269"/>
      <c r="G46" s="266"/>
      <c r="H46" s="269"/>
      <c r="I46" s="266"/>
    </row>
    <row r="47" spans="2:9" s="9" customFormat="1" ht="15" customHeight="1">
      <c r="B47" s="269"/>
      <c r="C47" s="266"/>
      <c r="D47" s="269"/>
      <c r="E47" s="266"/>
      <c r="F47" s="269"/>
      <c r="G47" s="266"/>
      <c r="H47" s="269"/>
      <c r="I47" s="266"/>
    </row>
    <row r="48" spans="2:9" s="9" customFormat="1" ht="15" customHeight="1">
      <c r="B48" s="269"/>
      <c r="C48" s="266"/>
      <c r="D48" s="269"/>
      <c r="E48" s="266"/>
      <c r="F48" s="269"/>
      <c r="G48" s="266"/>
      <c r="H48" s="269"/>
      <c r="I48" s="266"/>
    </row>
    <row r="49" spans="2:9" s="9" customFormat="1" ht="15" customHeight="1">
      <c r="B49" s="269"/>
      <c r="C49" s="266"/>
      <c r="D49" s="269"/>
      <c r="E49" s="266"/>
      <c r="F49" s="269"/>
      <c r="G49" s="266"/>
      <c r="H49" s="269"/>
      <c r="I49" s="266"/>
    </row>
    <row r="50" spans="2:9" s="9" customFormat="1" ht="15" customHeight="1">
      <c r="B50" s="269"/>
      <c r="C50" s="266"/>
      <c r="D50" s="269"/>
      <c r="E50" s="266"/>
      <c r="F50" s="269"/>
      <c r="G50" s="266"/>
      <c r="H50" s="269"/>
      <c r="I50" s="266"/>
    </row>
    <row r="51" spans="2:9" s="9" customFormat="1" ht="15" customHeight="1">
      <c r="B51" s="269"/>
      <c r="C51" s="266"/>
      <c r="D51" s="269"/>
      <c r="E51" s="266"/>
      <c r="F51" s="269"/>
      <c r="G51" s="266"/>
      <c r="H51" s="269"/>
      <c r="I51" s="266"/>
    </row>
    <row r="52" spans="2:9" s="9" customFormat="1" ht="15" customHeight="1">
      <c r="B52" s="269"/>
      <c r="C52" s="266"/>
      <c r="D52" s="269"/>
      <c r="E52" s="266"/>
      <c r="F52" s="269"/>
      <c r="G52" s="266"/>
      <c r="H52" s="269"/>
      <c r="I52" s="266"/>
    </row>
    <row r="53" spans="2:9" s="9" customFormat="1" ht="15" customHeight="1">
      <c r="B53" s="269"/>
      <c r="C53" s="266"/>
      <c r="D53" s="269"/>
      <c r="E53" s="266"/>
      <c r="F53" s="269"/>
      <c r="G53" s="266"/>
      <c r="H53" s="269"/>
      <c r="I53" s="266"/>
    </row>
    <row r="54" spans="2:9" s="9" customFormat="1" ht="15" customHeight="1">
      <c r="B54" s="269"/>
      <c r="C54" s="266"/>
      <c r="D54" s="269"/>
      <c r="E54" s="266"/>
      <c r="F54" s="269"/>
      <c r="G54" s="266"/>
      <c r="H54" s="269"/>
      <c r="I54" s="266"/>
    </row>
    <row r="55" spans="2:9" s="9" customFormat="1" ht="15" customHeight="1">
      <c r="B55" s="269"/>
      <c r="C55" s="266"/>
      <c r="D55" s="269"/>
      <c r="E55" s="266"/>
      <c r="F55" s="269"/>
      <c r="G55" s="266"/>
      <c r="H55" s="269"/>
      <c r="I55" s="266"/>
    </row>
    <row r="56" spans="2:9" s="9" customFormat="1" ht="15" customHeight="1">
      <c r="B56" s="269"/>
      <c r="C56" s="266"/>
      <c r="D56" s="269"/>
      <c r="E56" s="266"/>
      <c r="F56" s="269"/>
      <c r="G56" s="266"/>
      <c r="H56" s="269"/>
      <c r="I56" s="266"/>
    </row>
    <row r="57" spans="2:9" s="9" customFormat="1" ht="15" customHeight="1">
      <c r="B57" s="269"/>
      <c r="C57" s="354"/>
      <c r="D57" s="269"/>
      <c r="E57" s="266"/>
      <c r="F57" s="269"/>
      <c r="G57" s="266"/>
      <c r="H57" s="269"/>
      <c r="I57" s="266"/>
    </row>
    <row r="58" spans="2:9" s="3" customFormat="1" ht="14.25">
      <c r="B58" s="27" t="str">
        <f>+Textes!A110</f>
        <v>In kg FS</v>
      </c>
      <c r="C58" s="273">
        <f>IF(SUM(C11:C57)=0,0,SUM(C11:C57))</f>
        <v>0</v>
      </c>
      <c r="D58" s="27" t="str">
        <f>+B58</f>
        <v>In kg FS</v>
      </c>
      <c r="E58" s="271">
        <f>IF(SUM(E11:E57)=0,0,SUM(E11:E57))</f>
        <v>0</v>
      </c>
      <c r="F58" s="27" t="str">
        <f>+D58</f>
        <v>In kg FS</v>
      </c>
      <c r="G58" s="271">
        <f>IF(SUM(G11:G57)=0,0,SUM(G11:G57))</f>
        <v>0</v>
      </c>
      <c r="H58" s="27" t="str">
        <f>+F58</f>
        <v>In kg FS</v>
      </c>
      <c r="I58" s="271">
        <f>IF(SUM(I11:I57)=0,0,SUM(I11:I57))</f>
        <v>0</v>
      </c>
    </row>
    <row r="59" spans="2:9" s="3" customFormat="1" ht="14.25">
      <c r="B59" s="27" t="str">
        <f>+Textes!A111</f>
        <v>In kg TS</v>
      </c>
      <c r="C59" s="273">
        <f>IF(SUM(C11:C57)=0,0,SUM(C11:C57)*C5/100)</f>
        <v>0</v>
      </c>
      <c r="D59" s="27" t="str">
        <f>+B59</f>
        <v>In kg TS</v>
      </c>
      <c r="E59" s="271">
        <f>IF(SUM(E11:E57)=0,0,(SUM(E11:E57)*E5/100))</f>
        <v>0</v>
      </c>
      <c r="F59" s="27" t="str">
        <f>+D59</f>
        <v>In kg TS</v>
      </c>
      <c r="G59" s="271">
        <f>IF(SUM(G11:G57)=0,0,SUM(G11:G57)*G5/100)</f>
        <v>0</v>
      </c>
      <c r="H59" s="28" t="str">
        <f>+F59</f>
        <v>In kg TS</v>
      </c>
      <c r="I59" s="271">
        <f>IF(SUM(I11:I57)=0,0,SUM(I11:I57)*I5/100)</f>
        <v>0</v>
      </c>
    </row>
    <row r="60" spans="2:9" ht="18" customHeight="1">
      <c r="B60" s="6" t="str">
        <f>+'BX3'!B60</f>
        <v>Es müssen alle eingesetzten Futtermittel erfasst werden.</v>
      </c>
    </row>
    <row r="61" spans="2:9" s="3" customFormat="1" ht="4.5" customHeight="1">
      <c r="E61" s="5"/>
    </row>
    <row r="62" spans="2:9" ht="21" customHeight="1">
      <c r="B62" s="29" t="str">
        <f>+Inv!B80</f>
        <v>Kantonale Kontrollstelle, Datum:</v>
      </c>
      <c r="C62" s="30"/>
      <c r="D62" s="30"/>
      <c r="E62" s="30"/>
      <c r="F62" s="30" t="str">
        <f>+Inv!H80</f>
        <v>Unterschrift:</v>
      </c>
      <c r="G62" s="30"/>
      <c r="H62" s="30"/>
      <c r="I62" s="31"/>
    </row>
    <row r="63" spans="2:9" ht="4.5" customHeight="1"/>
    <row r="64" spans="2:9" ht="21" customHeight="1">
      <c r="B64" s="29" t="str">
        <f>+Inv!B82</f>
        <v>Betriebsleiter, Datum:</v>
      </c>
      <c r="C64" s="30"/>
      <c r="D64" s="30"/>
      <c r="E64" s="30"/>
      <c r="F64" s="30" t="str">
        <f>+F62</f>
        <v>Unterschrift:</v>
      </c>
      <c r="G64" s="30"/>
      <c r="H64" s="30"/>
      <c r="I64" s="31"/>
    </row>
    <row r="65" ht="6" customHeight="1"/>
  </sheetData>
  <phoneticPr fontId="59" type="noConversion"/>
  <pageMargins left="0.59055118110236227" right="0.39370078740157483" top="0.39370078740157483" bottom="0.32" header="0.11811023622047245" footer="0.11811023622047245"/>
  <pageSetup paperSize="9" scale="83" orientation="portrait" r:id="rId1"/>
  <headerFooter alignWithMargins="0">
    <oddFooter>&amp;C&amp;9&amp;F&amp;L&amp;"Arial,Fett"&amp;11AGRIDEA &amp;"Arial,Standard"&amp;9Impex, Version 2.6&amp;R&amp;"Arial,Standard"&amp;9&amp;D / Seite &amp;P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B1:K65"/>
  <sheetViews>
    <sheetView showGridLines="0" showRowColHeaders="0" showZeros="0" workbookViewId="0">
      <selection activeCell="B12" sqref="B12"/>
    </sheetView>
  </sheetViews>
  <sheetFormatPr baseColWidth="10" defaultColWidth="11.42578125" defaultRowHeight="12.75"/>
  <cols>
    <col min="1" max="1" width="1.42578125" style="1" customWidth="1"/>
    <col min="2" max="9" width="12.5703125" style="1" customWidth="1"/>
    <col min="10" max="10" width="1.42578125" style="1" customWidth="1"/>
    <col min="11" max="16384" width="11.42578125" style="1"/>
  </cols>
  <sheetData>
    <row r="1" spans="2:9" ht="43.7" customHeight="1">
      <c r="D1" s="186" t="str">
        <f>+'B5'!D1</f>
        <v>Impex:   Mastpoulets</v>
      </c>
      <c r="I1" s="187" t="str">
        <f>"B6: "&amp;Textes!A101</f>
        <v>B6: Futterzufuhr</v>
      </c>
    </row>
    <row r="2" spans="2:9" ht="15" customHeight="1">
      <c r="B2" s="679" t="str">
        <f>Inv!C4&amp;IF(Inv!D4=0,"",Inv!D4)</f>
        <v xml:space="preserve">Betriebs-Nr:    </v>
      </c>
      <c r="C2" s="191"/>
      <c r="D2" s="680"/>
      <c r="E2" s="681"/>
      <c r="F2" s="682" t="str">
        <f>Inv!C5&amp;IF(Inv!D5=0,"",Inv!D6&amp;" "&amp;Inv!D5)</f>
        <v xml:space="preserve">Name:    </v>
      </c>
      <c r="H2" s="110"/>
    </row>
    <row r="4" spans="2:9" s="7" customFormat="1" ht="18">
      <c r="B4" s="202" t="str">
        <f>+Inv!B71</f>
        <v>Schotte</v>
      </c>
      <c r="C4" s="203"/>
      <c r="D4" s="204" t="str">
        <f>+Inv!B72</f>
        <v>CCM</v>
      </c>
      <c r="E4" s="205"/>
      <c r="F4" s="204" t="str">
        <f>+Inv!B74</f>
        <v>Mais ganze Pflanze</v>
      </c>
      <c r="G4" s="205"/>
      <c r="H4" s="244" t="str">
        <f>+Inv!B75</f>
        <v>Wiesenfutter (Gras, Silo, ...)</v>
      </c>
      <c r="I4" s="205"/>
    </row>
    <row r="5" spans="2:9" s="8" customFormat="1" ht="14.25">
      <c r="B5" s="35" t="str">
        <f>+Inv!F61</f>
        <v>TS in %</v>
      </c>
      <c r="C5" s="103">
        <f>IF(Inv!F71&lt;&gt;"",Inv!F71,"")</f>
        <v>6</v>
      </c>
      <c r="D5" s="35" t="str">
        <f>+B5</f>
        <v>TS in %</v>
      </c>
      <c r="E5" s="104">
        <f>IF(Inv!F72&lt;&gt;"",Inv!F72,"")</f>
        <v>61</v>
      </c>
      <c r="F5" s="35" t="str">
        <f>+D5</f>
        <v>TS in %</v>
      </c>
      <c r="G5" s="104">
        <f>IF(Inv!F74&lt;&gt;"",Inv!F74,"")</f>
        <v>100</v>
      </c>
      <c r="H5" s="35" t="str">
        <f>+F5</f>
        <v>TS in %</v>
      </c>
      <c r="I5" s="104">
        <f>IF(Inv!F75&lt;&gt;"",Inv!F75,"")</f>
        <v>100</v>
      </c>
    </row>
    <row r="6" spans="2:9" s="8" customFormat="1" ht="14.25">
      <c r="B6" s="200" t="str">
        <f>+'B5'!B6</f>
        <v>pro kg TS</v>
      </c>
      <c r="C6" s="201"/>
      <c r="D6" s="200" t="str">
        <f>+B6</f>
        <v>pro kg TS</v>
      </c>
      <c r="E6" s="201"/>
      <c r="F6" s="200" t="str">
        <f>+D6</f>
        <v>pro kg TS</v>
      </c>
      <c r="G6" s="201"/>
      <c r="H6" s="200" t="str">
        <f>+F6</f>
        <v>pro kg TS</v>
      </c>
      <c r="I6" s="201"/>
    </row>
    <row r="7" spans="2:9" s="8" customFormat="1" ht="14.25">
      <c r="B7" s="36" t="str">
        <f>'B1'!B9</f>
        <v>MJ UEG</v>
      </c>
      <c r="C7" s="105">
        <f>IF(Inv!G71&lt;&gt;"",Inv!G71,"")</f>
        <v>14.6</v>
      </c>
      <c r="D7" s="36" t="str">
        <f>'B1'!B9</f>
        <v>MJ UEG</v>
      </c>
      <c r="E7" s="105">
        <f>IF(Inv!G72&lt;&gt;"",Inv!G72,"")</f>
        <v>15.7</v>
      </c>
      <c r="F7" s="36" t="str">
        <f>'B1'!B9</f>
        <v>MJ UEG</v>
      </c>
      <c r="G7" s="258">
        <f>IF(Inv!G74&lt;&gt;"",Inv!G74,"")</f>
        <v>10.7</v>
      </c>
      <c r="H7" s="36" t="str">
        <f>'B1'!B9</f>
        <v>MJ UEG</v>
      </c>
      <c r="I7" s="105">
        <f>IF(Inv!G75&lt;&gt;"",Inv!G75,"")</f>
        <v>7.6</v>
      </c>
    </row>
    <row r="8" spans="2:9" s="8" customFormat="1" ht="14.25">
      <c r="B8" s="37" t="str">
        <f>'B1'!B10</f>
        <v>g RP</v>
      </c>
      <c r="C8" s="105">
        <f>IF(Inv!H71&lt;&gt;"",Inv!H71,"")</f>
        <v>129</v>
      </c>
      <c r="D8" s="37" t="str">
        <f>'B1'!B10</f>
        <v>g RP</v>
      </c>
      <c r="E8" s="105">
        <f>IF(Inv!H72&lt;&gt;"",Inv!H72,"")</f>
        <v>95</v>
      </c>
      <c r="F8" s="37" t="str">
        <f>'B1'!B10</f>
        <v>g RP</v>
      </c>
      <c r="G8" s="105">
        <f>IF(Inv!H74&lt;&gt;"",Inv!H74,"")</f>
        <v>75</v>
      </c>
      <c r="H8" s="37" t="str">
        <f>'B1'!B10</f>
        <v>g RP</v>
      </c>
      <c r="I8" s="105">
        <f>IF(Inv!H75&lt;&gt;"",Inv!H75,"")</f>
        <v>155</v>
      </c>
    </row>
    <row r="9" spans="2:9" s="8" customFormat="1" ht="14.25">
      <c r="B9" s="38" t="str">
        <f>'B1'!B11</f>
        <v>g P</v>
      </c>
      <c r="C9" s="106">
        <f>IF(Inv!I71&lt;&gt;"",Inv!I71,"")</f>
        <v>7.3</v>
      </c>
      <c r="D9" s="38" t="str">
        <f>'B1'!B11</f>
        <v>g P</v>
      </c>
      <c r="E9" s="257">
        <f>IF(Inv!I72&lt;&gt;"",Inv!I72,"")</f>
        <v>3.3</v>
      </c>
      <c r="F9" s="38" t="str">
        <f>'B1'!B11</f>
        <v>g P</v>
      </c>
      <c r="G9" s="257">
        <f>IF(Inv!I74&lt;&gt;"",Inv!I74,"")</f>
        <v>1.9</v>
      </c>
      <c r="H9" s="38" t="str">
        <f>'B1'!B11</f>
        <v>g P</v>
      </c>
      <c r="I9" s="106">
        <f>IF(Inv!I75&lt;&gt;"",Inv!I75,"")</f>
        <v>3.5</v>
      </c>
    </row>
    <row r="10" spans="2:9" ht="14.25">
      <c r="B10" s="48" t="str">
        <f>+'B5'!B10</f>
        <v>Datum</v>
      </c>
      <c r="C10" s="49" t="str">
        <f>+'B5'!C10</f>
        <v>kg FS</v>
      </c>
      <c r="D10" s="48" t="str">
        <f>+B10</f>
        <v>Datum</v>
      </c>
      <c r="E10" s="49" t="str">
        <f>+C10</f>
        <v>kg FS</v>
      </c>
      <c r="F10" s="48" t="str">
        <f>+Textes!A114</f>
        <v>Monat</v>
      </c>
      <c r="G10" s="49" t="str">
        <f>+Textes!A115</f>
        <v>kg TS</v>
      </c>
      <c r="H10" s="48" t="str">
        <f>+F10</f>
        <v>Monat</v>
      </c>
      <c r="I10" s="49" t="str">
        <f>+G10</f>
        <v>kg TS</v>
      </c>
    </row>
    <row r="11" spans="2:9" s="8" customFormat="1" ht="15" hidden="1" customHeight="1">
      <c r="B11" s="269"/>
      <c r="C11" s="266"/>
      <c r="D11" s="269"/>
      <c r="E11" s="266"/>
      <c r="F11" s="269"/>
      <c r="G11" s="266"/>
      <c r="H11" s="269"/>
      <c r="I11" s="266"/>
    </row>
    <row r="12" spans="2:9" s="8" customFormat="1" ht="15" customHeight="1">
      <c r="B12" s="269"/>
      <c r="C12" s="266"/>
      <c r="D12" s="269"/>
      <c r="E12" s="266"/>
      <c r="F12" s="269"/>
      <c r="G12" s="266"/>
      <c r="H12" s="269"/>
      <c r="I12" s="266"/>
    </row>
    <row r="13" spans="2:9" s="8" customFormat="1" ht="15" customHeight="1">
      <c r="B13" s="269"/>
      <c r="C13" s="266"/>
      <c r="D13" s="269"/>
      <c r="E13" s="266"/>
      <c r="F13" s="269"/>
      <c r="G13" s="266"/>
      <c r="H13" s="269"/>
      <c r="I13" s="266"/>
    </row>
    <row r="14" spans="2:9" s="8" customFormat="1" ht="15" customHeight="1">
      <c r="B14" s="269"/>
      <c r="C14" s="266"/>
      <c r="D14" s="269"/>
      <c r="E14" s="266"/>
      <c r="F14" s="269"/>
      <c r="G14" s="266"/>
      <c r="H14" s="269"/>
      <c r="I14" s="266"/>
    </row>
    <row r="15" spans="2:9" s="8" customFormat="1" ht="15" customHeight="1">
      <c r="B15" s="269"/>
      <c r="C15" s="266"/>
      <c r="D15" s="269"/>
      <c r="E15" s="266"/>
      <c r="F15" s="269"/>
      <c r="G15" s="266"/>
      <c r="H15" s="269"/>
      <c r="I15" s="266"/>
    </row>
    <row r="16" spans="2:9" s="8" customFormat="1" ht="15" customHeight="1">
      <c r="B16" s="269"/>
      <c r="C16" s="266"/>
      <c r="D16" s="269"/>
      <c r="E16" s="266"/>
      <c r="F16" s="269"/>
      <c r="G16" s="266"/>
      <c r="H16" s="269"/>
      <c r="I16" s="266"/>
    </row>
    <row r="17" spans="2:9" s="8" customFormat="1" ht="15" customHeight="1">
      <c r="B17" s="269"/>
      <c r="C17" s="266"/>
      <c r="D17" s="269"/>
      <c r="E17" s="266"/>
      <c r="F17" s="269"/>
      <c r="G17" s="266"/>
      <c r="H17" s="269"/>
      <c r="I17" s="266"/>
    </row>
    <row r="18" spans="2:9" s="8" customFormat="1" ht="15" customHeight="1">
      <c r="B18" s="269"/>
      <c r="C18" s="266"/>
      <c r="D18" s="269"/>
      <c r="E18" s="266"/>
      <c r="F18" s="269"/>
      <c r="G18" s="266"/>
      <c r="H18" s="269"/>
      <c r="I18" s="266"/>
    </row>
    <row r="19" spans="2:9" s="8" customFormat="1" ht="15" customHeight="1">
      <c r="B19" s="269"/>
      <c r="C19" s="266"/>
      <c r="D19" s="269"/>
      <c r="E19" s="266"/>
      <c r="F19" s="269"/>
      <c r="G19" s="266"/>
      <c r="H19" s="269"/>
      <c r="I19" s="266"/>
    </row>
    <row r="20" spans="2:9" s="8" customFormat="1" ht="15" customHeight="1">
      <c r="B20" s="269"/>
      <c r="C20" s="266"/>
      <c r="D20" s="269"/>
      <c r="E20" s="266"/>
      <c r="F20" s="269"/>
      <c r="G20" s="266"/>
      <c r="H20" s="269"/>
      <c r="I20" s="266"/>
    </row>
    <row r="21" spans="2:9" s="8" customFormat="1" ht="15" customHeight="1">
      <c r="B21" s="269"/>
      <c r="C21" s="266"/>
      <c r="D21" s="269"/>
      <c r="E21" s="266"/>
      <c r="F21" s="269"/>
      <c r="G21" s="266"/>
      <c r="H21" s="269"/>
      <c r="I21" s="266"/>
    </row>
    <row r="22" spans="2:9" s="8" customFormat="1" ht="15" customHeight="1">
      <c r="B22" s="269"/>
      <c r="C22" s="266"/>
      <c r="D22" s="269"/>
      <c r="E22" s="266"/>
      <c r="F22" s="269"/>
      <c r="G22" s="266"/>
      <c r="H22" s="269"/>
      <c r="I22" s="266"/>
    </row>
    <row r="23" spans="2:9" s="8" customFormat="1" ht="15" customHeight="1">
      <c r="B23" s="269"/>
      <c r="C23" s="266"/>
      <c r="D23" s="269"/>
      <c r="E23" s="266"/>
      <c r="F23" s="269"/>
      <c r="G23" s="266"/>
      <c r="H23" s="269"/>
      <c r="I23" s="266"/>
    </row>
    <row r="24" spans="2:9" s="8" customFormat="1" ht="15" customHeight="1">
      <c r="B24" s="269"/>
      <c r="C24" s="266"/>
      <c r="D24" s="269"/>
      <c r="E24" s="266"/>
      <c r="F24" s="269"/>
      <c r="G24" s="266"/>
      <c r="H24" s="269"/>
      <c r="I24" s="266"/>
    </row>
    <row r="25" spans="2:9" s="8" customFormat="1" ht="15" customHeight="1">
      <c r="B25" s="269"/>
      <c r="C25" s="266"/>
      <c r="D25" s="269"/>
      <c r="E25" s="266"/>
      <c r="F25" s="269"/>
      <c r="G25" s="266"/>
      <c r="H25" s="269"/>
      <c r="I25" s="266"/>
    </row>
    <row r="26" spans="2:9" s="8" customFormat="1" ht="15" customHeight="1">
      <c r="B26" s="269"/>
      <c r="C26" s="266"/>
      <c r="D26" s="269"/>
      <c r="E26" s="266"/>
      <c r="F26" s="269"/>
      <c r="G26" s="266"/>
      <c r="H26" s="269"/>
      <c r="I26" s="266"/>
    </row>
    <row r="27" spans="2:9" s="8" customFormat="1" ht="15" customHeight="1">
      <c r="B27" s="269"/>
      <c r="C27" s="266"/>
      <c r="D27" s="269"/>
      <c r="E27" s="266"/>
      <c r="F27" s="269"/>
      <c r="G27" s="266"/>
      <c r="H27" s="269"/>
      <c r="I27" s="266"/>
    </row>
    <row r="28" spans="2:9" s="8" customFormat="1" ht="15" customHeight="1">
      <c r="B28" s="269"/>
      <c r="C28" s="266"/>
      <c r="D28" s="269"/>
      <c r="E28" s="266"/>
      <c r="F28" s="269"/>
      <c r="G28" s="266"/>
      <c r="H28" s="269"/>
      <c r="I28" s="266"/>
    </row>
    <row r="29" spans="2:9" s="8" customFormat="1" ht="15" customHeight="1">
      <c r="B29" s="269"/>
      <c r="C29" s="266"/>
      <c r="D29" s="269"/>
      <c r="E29" s="266"/>
      <c r="F29" s="269"/>
      <c r="G29" s="266"/>
      <c r="H29" s="269"/>
      <c r="I29" s="266"/>
    </row>
    <row r="30" spans="2:9" s="8" customFormat="1" ht="15" customHeight="1">
      <c r="B30" s="269"/>
      <c r="C30" s="266"/>
      <c r="D30" s="269"/>
      <c r="E30" s="266"/>
      <c r="F30" s="269"/>
      <c r="G30" s="266"/>
      <c r="H30" s="269"/>
      <c r="I30" s="266"/>
    </row>
    <row r="31" spans="2:9" s="8" customFormat="1" ht="15" customHeight="1">
      <c r="B31" s="269"/>
      <c r="C31" s="266"/>
      <c r="D31" s="269"/>
      <c r="E31" s="266"/>
      <c r="F31" s="269"/>
      <c r="G31" s="266"/>
      <c r="H31" s="269"/>
      <c r="I31" s="266"/>
    </row>
    <row r="32" spans="2:9" s="8" customFormat="1" ht="15" customHeight="1">
      <c r="B32" s="269"/>
      <c r="C32" s="266"/>
      <c r="D32" s="269"/>
      <c r="E32" s="266"/>
      <c r="F32" s="269"/>
      <c r="G32" s="266"/>
      <c r="H32" s="269"/>
      <c r="I32" s="266"/>
    </row>
    <row r="33" spans="2:11" s="8" customFormat="1" ht="15" customHeight="1">
      <c r="B33" s="269"/>
      <c r="C33" s="266"/>
      <c r="D33" s="269"/>
      <c r="E33" s="266"/>
      <c r="F33" s="269"/>
      <c r="G33" s="266"/>
      <c r="H33" s="269"/>
      <c r="I33" s="266"/>
    </row>
    <row r="34" spans="2:11" s="8" customFormat="1" ht="15" customHeight="1">
      <c r="B34" s="269"/>
      <c r="C34" s="266"/>
      <c r="D34" s="269"/>
      <c r="E34" s="266"/>
      <c r="F34" s="269"/>
      <c r="G34" s="266"/>
      <c r="H34" s="269"/>
      <c r="I34" s="266"/>
    </row>
    <row r="35" spans="2:11" s="8" customFormat="1" ht="15" customHeight="1">
      <c r="B35" s="269"/>
      <c r="C35" s="266"/>
      <c r="D35" s="269"/>
      <c r="E35" s="266"/>
      <c r="F35" s="269"/>
      <c r="G35" s="266"/>
      <c r="H35" s="269"/>
      <c r="I35" s="266"/>
    </row>
    <row r="36" spans="2:11" s="8" customFormat="1" ht="15" customHeight="1">
      <c r="B36" s="269"/>
      <c r="C36" s="266"/>
      <c r="D36" s="269"/>
      <c r="E36" s="266"/>
      <c r="F36" s="269"/>
      <c r="G36" s="266"/>
      <c r="H36" s="269"/>
      <c r="I36" s="266"/>
    </row>
    <row r="37" spans="2:11" s="8" customFormat="1" ht="15" customHeight="1">
      <c r="B37" s="269"/>
      <c r="C37" s="266"/>
      <c r="D37" s="269"/>
      <c r="E37" s="266"/>
      <c r="F37" s="269"/>
      <c r="G37" s="266"/>
      <c r="H37" s="269"/>
      <c r="I37" s="266"/>
      <c r="J37" s="39"/>
      <c r="K37" s="107"/>
    </row>
    <row r="38" spans="2:11" s="8" customFormat="1" ht="15" customHeight="1">
      <c r="B38" s="269"/>
      <c r="C38" s="266"/>
      <c r="D38" s="269"/>
      <c r="E38" s="266"/>
      <c r="F38" s="269"/>
      <c r="G38" s="266"/>
      <c r="H38" s="269"/>
      <c r="I38" s="266"/>
    </row>
    <row r="39" spans="2:11" s="8" customFormat="1" ht="15" customHeight="1">
      <c r="B39" s="269"/>
      <c r="C39" s="266"/>
      <c r="D39" s="269"/>
      <c r="E39" s="266"/>
      <c r="F39" s="269"/>
      <c r="G39" s="266"/>
      <c r="H39" s="269"/>
      <c r="I39" s="266"/>
    </row>
    <row r="40" spans="2:11" s="8" customFormat="1" ht="15" customHeight="1">
      <c r="B40" s="269"/>
      <c r="C40" s="266"/>
      <c r="D40" s="269"/>
      <c r="E40" s="266"/>
      <c r="F40" s="269"/>
      <c r="G40" s="266"/>
      <c r="H40" s="269"/>
      <c r="I40" s="266"/>
    </row>
    <row r="41" spans="2:11" s="8" customFormat="1" ht="15" customHeight="1">
      <c r="B41" s="269"/>
      <c r="C41" s="266"/>
      <c r="D41" s="269"/>
      <c r="E41" s="266"/>
      <c r="F41" s="269"/>
      <c r="G41" s="266"/>
      <c r="H41" s="269"/>
      <c r="I41" s="266"/>
    </row>
    <row r="42" spans="2:11" s="8" customFormat="1" ht="15" customHeight="1">
      <c r="B42" s="269"/>
      <c r="C42" s="266"/>
      <c r="D42" s="269"/>
      <c r="E42" s="266"/>
      <c r="F42" s="269"/>
      <c r="G42" s="266"/>
      <c r="H42" s="269"/>
      <c r="I42" s="266"/>
    </row>
    <row r="43" spans="2:11" s="8" customFormat="1" ht="15" customHeight="1">
      <c r="B43" s="269"/>
      <c r="C43" s="266"/>
      <c r="D43" s="269"/>
      <c r="E43" s="266"/>
      <c r="F43" s="269"/>
      <c r="G43" s="266"/>
      <c r="H43" s="269"/>
      <c r="I43" s="266"/>
    </row>
    <row r="44" spans="2:11" s="8" customFormat="1" ht="15" customHeight="1">
      <c r="B44" s="269"/>
      <c r="C44" s="266"/>
      <c r="D44" s="269"/>
      <c r="E44" s="266"/>
      <c r="F44" s="269"/>
      <c r="G44" s="266"/>
      <c r="H44" s="269"/>
      <c r="I44" s="266"/>
    </row>
    <row r="45" spans="2:11" s="8" customFormat="1" ht="15" customHeight="1">
      <c r="B45" s="269"/>
      <c r="C45" s="266"/>
      <c r="D45" s="269"/>
      <c r="E45" s="266"/>
      <c r="F45" s="269"/>
      <c r="G45" s="266"/>
      <c r="H45" s="269"/>
      <c r="I45" s="266"/>
    </row>
    <row r="46" spans="2:11" s="8" customFormat="1" ht="15" customHeight="1">
      <c r="B46" s="269"/>
      <c r="C46" s="266"/>
      <c r="D46" s="269"/>
      <c r="E46" s="266"/>
      <c r="F46" s="269"/>
      <c r="G46" s="266"/>
      <c r="H46" s="269"/>
      <c r="I46" s="266"/>
    </row>
    <row r="47" spans="2:11" s="8" customFormat="1" ht="15" customHeight="1">
      <c r="B47" s="269"/>
      <c r="C47" s="266"/>
      <c r="D47" s="269"/>
      <c r="E47" s="266"/>
      <c r="F47" s="269"/>
      <c r="G47" s="266"/>
      <c r="H47" s="269"/>
      <c r="I47" s="266"/>
    </row>
    <row r="48" spans="2:11" s="8" customFormat="1" ht="15" customHeight="1">
      <c r="B48" s="269"/>
      <c r="C48" s="266"/>
      <c r="D48" s="269"/>
      <c r="E48" s="266"/>
      <c r="F48" s="269"/>
      <c r="G48" s="266"/>
      <c r="H48" s="269"/>
      <c r="I48" s="266"/>
    </row>
    <row r="49" spans="2:9" s="8" customFormat="1" ht="15" customHeight="1">
      <c r="B49" s="269"/>
      <c r="C49" s="266"/>
      <c r="D49" s="269"/>
      <c r="E49" s="266"/>
      <c r="F49" s="269"/>
      <c r="G49" s="266"/>
      <c r="H49" s="269"/>
      <c r="I49" s="266"/>
    </row>
    <row r="50" spans="2:9" s="8" customFormat="1" ht="15" customHeight="1">
      <c r="B50" s="269"/>
      <c r="C50" s="266"/>
      <c r="D50" s="269"/>
      <c r="E50" s="266"/>
      <c r="F50" s="269"/>
      <c r="G50" s="266"/>
      <c r="H50" s="269"/>
      <c r="I50" s="266"/>
    </row>
    <row r="51" spans="2:9" s="8" customFormat="1" ht="15" customHeight="1">
      <c r="B51" s="269"/>
      <c r="C51" s="266"/>
      <c r="D51" s="269"/>
      <c r="E51" s="266"/>
      <c r="F51" s="269"/>
      <c r="G51" s="266"/>
      <c r="H51" s="269"/>
      <c r="I51" s="266"/>
    </row>
    <row r="52" spans="2:9" s="8" customFormat="1" ht="15" customHeight="1">
      <c r="B52" s="269"/>
      <c r="C52" s="266"/>
      <c r="D52" s="269"/>
      <c r="E52" s="266"/>
      <c r="F52" s="269"/>
      <c r="G52" s="266"/>
      <c r="H52" s="269"/>
      <c r="I52" s="266"/>
    </row>
    <row r="53" spans="2:9" s="8" customFormat="1" ht="15" customHeight="1">
      <c r="B53" s="269"/>
      <c r="C53" s="266"/>
      <c r="D53" s="269"/>
      <c r="E53" s="266"/>
      <c r="F53" s="269"/>
      <c r="G53" s="266"/>
      <c r="H53" s="269"/>
      <c r="I53" s="266"/>
    </row>
    <row r="54" spans="2:9" s="8" customFormat="1" ht="15" customHeight="1">
      <c r="B54" s="269"/>
      <c r="C54" s="266"/>
      <c r="D54" s="269"/>
      <c r="E54" s="266"/>
      <c r="F54" s="269"/>
      <c r="G54" s="266"/>
      <c r="H54" s="269"/>
      <c r="I54" s="266"/>
    </row>
    <row r="55" spans="2:9" s="8" customFormat="1" ht="15" customHeight="1">
      <c r="B55" s="269"/>
      <c r="C55" s="266"/>
      <c r="D55" s="269"/>
      <c r="E55" s="266"/>
      <c r="F55" s="269"/>
      <c r="G55" s="266"/>
      <c r="H55" s="269"/>
      <c r="I55" s="266"/>
    </row>
    <row r="56" spans="2:9" s="8" customFormat="1" ht="15" customHeight="1">
      <c r="B56" s="269"/>
      <c r="C56" s="266"/>
      <c r="D56" s="269"/>
      <c r="E56" s="266"/>
      <c r="F56" s="269"/>
      <c r="G56" s="266"/>
      <c r="H56" s="269"/>
      <c r="I56" s="266"/>
    </row>
    <row r="57" spans="2:9" s="8" customFormat="1" ht="15" customHeight="1">
      <c r="B57" s="269"/>
      <c r="C57" s="266"/>
      <c r="D57" s="269"/>
      <c r="E57" s="266"/>
      <c r="F57" s="269"/>
      <c r="G57" s="266"/>
      <c r="H57" s="269"/>
      <c r="I57" s="266"/>
    </row>
    <row r="58" spans="2:9" s="8" customFormat="1" ht="14.25">
      <c r="B58" s="108" t="str">
        <f>+'B5'!B58</f>
        <v>In kg FS</v>
      </c>
      <c r="C58" s="277">
        <f>IF(SUM(C11:C57)=0,0,SUM(C11:C57))</f>
        <v>0</v>
      </c>
      <c r="D58" s="109" t="str">
        <f>+B58</f>
        <v>In kg FS</v>
      </c>
      <c r="E58" s="278">
        <f>IF(SUM(E11:E57)=0,0,SUM(E11:E57))</f>
        <v>0</v>
      </c>
      <c r="F58" s="108"/>
      <c r="G58" s="277"/>
      <c r="H58" s="108"/>
      <c r="I58" s="277"/>
    </row>
    <row r="59" spans="2:9" s="3" customFormat="1" ht="14.25">
      <c r="B59" s="27" t="str">
        <f>+'B5'!B59</f>
        <v>In kg TS</v>
      </c>
      <c r="C59" s="271">
        <f>IF(SUM(C11:C57)=0,0,SUM(C11:C57)*C5/100)</f>
        <v>0</v>
      </c>
      <c r="D59" s="28" t="str">
        <f>+B59</f>
        <v>In kg TS</v>
      </c>
      <c r="E59" s="273">
        <f>IF(SUM(E11:E57)=0,0,SUM(E11:E57)*E5/100)</f>
        <v>0</v>
      </c>
      <c r="F59" s="27" t="str">
        <f>+D59</f>
        <v>In kg TS</v>
      </c>
      <c r="G59" s="271">
        <f>IF(SUM(G11:G57)=0,0,SUM(G11:G57))</f>
        <v>0</v>
      </c>
      <c r="H59" s="27" t="str">
        <f>+F59</f>
        <v>In kg TS</v>
      </c>
      <c r="I59" s="271">
        <f>IF(SUM(I11:I57)=0,0,SUM(I11:I57))</f>
        <v>0</v>
      </c>
    </row>
    <row r="60" spans="2:9" ht="18" customHeight="1">
      <c r="B60" s="6" t="str">
        <f>+'B3'!B60</f>
        <v>Es müssen alle eingesetzten Futtermittel erfasst werden.</v>
      </c>
    </row>
    <row r="61" spans="2:9" s="3" customFormat="1" ht="4.5" customHeight="1">
      <c r="E61" s="5"/>
    </row>
    <row r="62" spans="2:9" ht="21" customHeight="1">
      <c r="B62" s="29" t="str">
        <f>+Inv!B80</f>
        <v>Kantonale Kontrollstelle, Datum:</v>
      </c>
      <c r="C62" s="30"/>
      <c r="D62" s="30"/>
      <c r="E62" s="30"/>
      <c r="F62" s="30" t="str">
        <f>+Inv!H80</f>
        <v>Unterschrift:</v>
      </c>
      <c r="G62" s="30"/>
      <c r="H62" s="30"/>
      <c r="I62" s="31"/>
    </row>
    <row r="63" spans="2:9" ht="4.5" customHeight="1"/>
    <row r="64" spans="2:9" ht="21" customHeight="1">
      <c r="B64" s="29" t="str">
        <f>+Inv!B82</f>
        <v>Betriebsleiter, Datum:</v>
      </c>
      <c r="C64" s="30"/>
      <c r="D64" s="30"/>
      <c r="E64" s="30"/>
      <c r="F64" s="30" t="str">
        <f>+F62</f>
        <v>Unterschrift:</v>
      </c>
      <c r="G64" s="30"/>
      <c r="H64" s="30"/>
      <c r="I64" s="31"/>
    </row>
    <row r="65" spans="6:7" ht="6" customHeight="1">
      <c r="F65" s="10"/>
      <c r="G65" s="10"/>
    </row>
  </sheetData>
  <sheetProtection password="8C69" sheet="1" scenarios="1"/>
  <phoneticPr fontId="28" type="noConversion"/>
  <pageMargins left="0.59055118110236227" right="0.39370078740157483" top="0.39370078740157483" bottom="0.32" header="0.11811023622047245" footer="0.11811023622047245"/>
  <pageSetup paperSize="9" scale="83" orientation="portrait" r:id="rId1"/>
  <headerFooter alignWithMargins="0">
    <oddFooter>&amp;C&amp;9&amp;F&amp;L&amp;"Arial,Fett"&amp;11AGRIDEA &amp;"Arial,Standard"&amp;9Impex, Version 2.6&amp;R&amp;"Arial,Standard"&amp;9&amp;D / Seite &amp;P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B1:IV93"/>
  <sheetViews>
    <sheetView showGridLines="0" showRowColHeaders="0" showZeros="0" workbookViewId="0">
      <selection activeCell="C4" sqref="C4"/>
    </sheetView>
  </sheetViews>
  <sheetFormatPr baseColWidth="10" defaultColWidth="1.42578125" defaultRowHeight="12.75"/>
  <cols>
    <col min="1" max="1" width="1.42578125" style="11" customWidth="1"/>
    <col min="2" max="2" width="15" style="11" customWidth="1"/>
    <col min="3" max="4" width="7.85546875" style="11" customWidth="1"/>
    <col min="5" max="5" width="8.42578125" style="11" customWidth="1"/>
    <col min="6" max="6" width="7.85546875" style="11" customWidth="1"/>
    <col min="7" max="7" width="8.42578125" style="11" customWidth="1"/>
    <col min="8" max="8" width="8.85546875" style="11" customWidth="1"/>
    <col min="9" max="10" width="8.5703125" style="11" customWidth="1"/>
    <col min="11" max="12" width="10.85546875" style="11" customWidth="1"/>
    <col min="13" max="13" width="1.28515625" style="11" customWidth="1"/>
    <col min="14" max="14" width="6" style="11" hidden="1" customWidth="1"/>
    <col min="15" max="25" width="10.7109375" style="11" hidden="1" customWidth="1"/>
    <col min="26" max="26" width="14.28515625" style="11" hidden="1" customWidth="1"/>
    <col min="27" max="16384" width="1.42578125" style="11"/>
  </cols>
  <sheetData>
    <row r="1" spans="2:256" ht="43.7" customHeight="1">
      <c r="E1" s="188" t="str">
        <f>IF(Textes!G2=2,"Impex:"&amp;"   "&amp;Textes!G4,IF(Textes!G2=3,"Impex:"&amp;"   "&amp;Textes!G5,IF(Textes!G2=4,"Impex:"&amp;"   "&amp;Textes!G6,IF(Textes!G2=5,"Impex:"&amp;"   "&amp;Textes!G7,"Impex:"&amp;"   "&amp;Textes!G3))))</f>
        <v>Impex:   Mastpoulets</v>
      </c>
      <c r="L1" s="189" t="str">
        <f>+Textes!A116</f>
        <v>Import/Exportbilanz</v>
      </c>
    </row>
    <row r="4" spans="2:256" s="66" customFormat="1" ht="14.25">
      <c r="B4" s="218" t="str">
        <f>Inv!C4</f>
        <v xml:space="preserve">Betriebs-Nr:    </v>
      </c>
      <c r="C4"/>
      <c r="D4" s="219">
        <f>IF(Inv!D4&lt;&gt;0,Inv!D4,0)</f>
        <v>0</v>
      </c>
      <c r="E4"/>
      <c r="F4" s="219"/>
      <c r="G4" s="12"/>
      <c r="H4" s="12"/>
      <c r="I4" s="218" t="str">
        <f>Inv!H4</f>
        <v xml:space="preserve">Berechnet durch:    </v>
      </c>
      <c r="J4" s="12"/>
      <c r="K4" s="219">
        <f>IF(Inv!I4&lt;&gt;0,Inv!I4,0)</f>
        <v>0</v>
      </c>
      <c r="L4" s="220"/>
      <c r="M4" s="32"/>
      <c r="N4" s="32"/>
      <c r="O4" s="367"/>
      <c r="P4" s="367"/>
      <c r="Q4" s="367"/>
      <c r="R4" s="368"/>
      <c r="S4" s="368"/>
      <c r="T4" s="367" t="s">
        <v>448</v>
      </c>
      <c r="U4" s="367">
        <f>IF(Textes!G2=1,U5,IF(OR(Textes!G2=2,Textes!G2=3,Textes!G2=4),U6,U7))</f>
        <v>0.6</v>
      </c>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2:256" s="66" customFormat="1" ht="14.25">
      <c r="B5" s="218" t="str">
        <f>Inv!C5</f>
        <v xml:space="preserve">Name:    </v>
      </c>
      <c r="C5"/>
      <c r="D5" s="338" t="str">
        <f>IF(Inv!D5=0,"",Inv!D6 &amp; " " &amp; Inv!D5)</f>
        <v/>
      </c>
      <c r="E5" s="219"/>
      <c r="F5" s="219"/>
      <c r="G5" s="219"/>
      <c r="H5" s="12"/>
      <c r="I5" s="218" t="str">
        <f>Inv!H7</f>
        <v xml:space="preserve">Firma:    </v>
      </c>
      <c r="J5" s="12"/>
      <c r="K5" s="219">
        <f>IF(Inv!I7&lt;&gt;0,Inv!I7,0)</f>
        <v>0</v>
      </c>
      <c r="L5" s="220"/>
      <c r="M5" s="32"/>
      <c r="N5" s="32"/>
      <c r="O5" s="367"/>
      <c r="Q5" s="367"/>
      <c r="R5" s="368"/>
      <c r="S5" s="368"/>
      <c r="T5" s="367" t="s">
        <v>449</v>
      </c>
      <c r="U5" s="367">
        <v>0.8</v>
      </c>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2:256" s="66" customFormat="1" ht="14.25">
      <c r="B6" s="218" t="str">
        <f>Inv!C7</f>
        <v xml:space="preserve">Adresse:    </v>
      </c>
      <c r="C6"/>
      <c r="D6" s="219">
        <f>IF(Inv!D7&lt;&gt;0,Inv!D7,0)</f>
        <v>0</v>
      </c>
      <c r="E6"/>
      <c r="F6" s="219"/>
      <c r="G6" s="219"/>
      <c r="H6" s="12"/>
      <c r="I6" s="218" t="str">
        <f>Inv!H8</f>
        <v xml:space="preserve">Datum Anfang:    </v>
      </c>
      <c r="J6" s="12"/>
      <c r="K6" s="229">
        <f>IF(H14=0,0,IF(Inv!I8&lt;&gt;0,Inv!I8,P6))</f>
        <v>0</v>
      </c>
      <c r="L6" s="221"/>
      <c r="O6" s="367"/>
      <c r="P6" s="66" t="str">
        <f>+Textes!A117</f>
        <v>Datum ?</v>
      </c>
      <c r="Q6" s="367"/>
      <c r="R6" s="368"/>
      <c r="S6" s="368"/>
      <c r="T6" s="367" t="s">
        <v>450</v>
      </c>
      <c r="U6" s="367">
        <v>0.6</v>
      </c>
    </row>
    <row r="7" spans="2:256" s="66" customFormat="1" ht="14.25">
      <c r="B7" s="218" t="str">
        <f>Inv!C9</f>
        <v xml:space="preserve">PLZ, Ort:    </v>
      </c>
      <c r="C7"/>
      <c r="D7" s="219">
        <f>IF(Inv!D9&lt;&gt;0,Inv!D9,0)</f>
        <v>0</v>
      </c>
      <c r="E7"/>
      <c r="F7" s="219"/>
      <c r="G7" s="219"/>
      <c r="H7" s="12"/>
      <c r="I7" s="218" t="str">
        <f>Inv!H9</f>
        <v xml:space="preserve">Datum Ende:    </v>
      </c>
      <c r="J7" s="12"/>
      <c r="K7" s="229">
        <f>IF(H14=0,0,IF(Inv!I9&lt;&gt;0,Inv!I9,P7))</f>
        <v>0</v>
      </c>
      <c r="L7" s="221"/>
      <c r="O7" s="367"/>
      <c r="P7" s="66" t="str">
        <f>+Textes!A117</f>
        <v>Datum ?</v>
      </c>
      <c r="Q7" s="367"/>
      <c r="R7" s="368"/>
      <c r="S7" s="368"/>
      <c r="T7" s="367" t="s">
        <v>451</v>
      </c>
      <c r="U7" s="367">
        <v>0.85</v>
      </c>
    </row>
    <row r="8" spans="2:256" s="66" customFormat="1" ht="14.25">
      <c r="D8" s="67"/>
      <c r="O8" s="367"/>
      <c r="P8" s="367"/>
      <c r="Q8" s="367"/>
      <c r="R8" s="368"/>
      <c r="S8" s="368"/>
      <c r="T8" s="367"/>
      <c r="U8" s="367"/>
    </row>
    <row r="9" spans="2:256" s="19" customFormat="1" ht="16.5" customHeight="1">
      <c r="B9" s="20" t="str">
        <f>+Textes!A118</f>
        <v>Teil A: Nährstoffexport durch Tiere</v>
      </c>
      <c r="C9" s="20"/>
    </row>
    <row r="10" spans="2:256" s="19" customFormat="1" ht="3.95" customHeight="1">
      <c r="B10" s="18"/>
      <c r="C10" s="18"/>
    </row>
    <row r="11" spans="2:256" s="19" customFormat="1">
      <c r="D11" s="68" t="str">
        <f>+Textes!A119</f>
        <v>A-Inv.</v>
      </c>
      <c r="E11" s="69" t="str">
        <f>+Textes!A120</f>
        <v>E-Inv.</v>
      </c>
      <c r="F11" s="69" t="str">
        <f>+Textes!A121</f>
        <v>Zukauf</v>
      </c>
      <c r="G11" s="69" t="str">
        <f>+Textes!A122</f>
        <v>Verkauf</v>
      </c>
      <c r="H11" s="168" t="str">
        <f>+Textes!A123</f>
        <v>LG total</v>
      </c>
      <c r="I11" s="167" t="str">
        <f>+Textes!A124</f>
        <v>g Ntot/kg</v>
      </c>
      <c r="J11" s="167" t="str">
        <f>+Textes!A125</f>
        <v>g P/kg</v>
      </c>
      <c r="K11" s="168" t="str">
        <f>+Textes!A126</f>
        <v>Total kg Ntot</v>
      </c>
      <c r="L11" s="168" t="str">
        <f>+Textes!A127</f>
        <v>Total kg P</v>
      </c>
      <c r="R11" s="206" t="s">
        <v>449</v>
      </c>
      <c r="S11" s="208"/>
      <c r="T11" s="206" t="s">
        <v>50</v>
      </c>
      <c r="U11" s="208"/>
      <c r="V11" s="206" t="s">
        <v>799</v>
      </c>
      <c r="W11" s="208"/>
      <c r="X11" s="206" t="s">
        <v>451</v>
      </c>
      <c r="Y11" s="208"/>
    </row>
    <row r="12" spans="2:256" s="19" customFormat="1">
      <c r="B12" s="97" t="str">
        <f>IF(Textes!G2=1,Impex!P12,Impex!Q12)</f>
        <v>Tiere</v>
      </c>
      <c r="C12" s="71"/>
      <c r="D12" s="249">
        <f>IF(Inv!O23=0,0,IF(Textes!G2=1,Inv!O23,Inv!H23))</f>
        <v>0</v>
      </c>
      <c r="E12" s="249">
        <f>IF(Inv!S23=0,0,IF(Textes!G2=1,Inv!S23,Inv!K23))</f>
        <v>0</v>
      </c>
      <c r="F12" s="249">
        <f>IF(ISERROR(SUM(A1a!D6:D60)=TRUE),0,SUM(A1a!D6:D60,A1b!D6:D60,A1c!D6:D60,A1d!D6:D60,A1e!D6:D60))</f>
        <v>0</v>
      </c>
      <c r="G12" s="249">
        <f>IF(ISERROR(SUM(A2a!D8:D60)=TRUE),0,SUM(A2a!D8:D60,A2b!D8:D60,A2c!D8:D60,A2d!D8:D60,A2e!D8:D60))</f>
        <v>0</v>
      </c>
      <c r="H12" s="138">
        <f>-D12+E12-F12+G12</f>
        <v>0</v>
      </c>
      <c r="I12" s="70">
        <f>IF(Textes!G2=1,R12,IF(Textes!G2=4,V12,IF(Textes!G2=5,X12,T12)))</f>
        <v>29.1</v>
      </c>
      <c r="J12" s="70">
        <f>IF(Textes!G2=1,S12,IF(Textes!G2=4,W12,IF(Textes!G2=5,Y12,U12)))</f>
        <v>5.8</v>
      </c>
      <c r="K12" s="138">
        <f>IF(H12=0,0,H12*I12/1000)</f>
        <v>0</v>
      </c>
      <c r="L12" s="138">
        <f>IF(H12=0,0,H12*J12/1000)</f>
        <v>0</v>
      </c>
      <c r="P12" s="369" t="str">
        <f>+Textes!A128</f>
        <v>Tiere bis 60 kg LG</v>
      </c>
      <c r="Q12" s="370" t="str">
        <f>+Textes!A130</f>
        <v>Tiere</v>
      </c>
      <c r="R12" s="371">
        <v>24.6</v>
      </c>
      <c r="S12" s="372">
        <v>5.3</v>
      </c>
      <c r="T12" s="83">
        <v>29.1</v>
      </c>
      <c r="U12" s="84">
        <v>5.8</v>
      </c>
      <c r="V12" s="83">
        <v>34</v>
      </c>
      <c r="W12" s="84">
        <v>5.8</v>
      </c>
      <c r="X12" s="83">
        <v>30.4</v>
      </c>
      <c r="Y12" s="84">
        <v>6.5</v>
      </c>
    </row>
    <row r="13" spans="2:256" s="19" customFormat="1" ht="13.5" thickBot="1">
      <c r="B13" s="99">
        <f>IF(Textes!G2=1,Impex!P13,0)</f>
        <v>0</v>
      </c>
      <c r="C13" s="74"/>
      <c r="D13" s="135">
        <f>IF(Inv!Q23=0,0,IF(Textes!G2=1,Inv!Q23,0))</f>
        <v>0</v>
      </c>
      <c r="E13" s="135">
        <f>IF(Inv!U23=0,0,IF(Textes!G2=1,Inv!U23,0))</f>
        <v>0</v>
      </c>
      <c r="F13" s="135">
        <f>IF(Textes!G2=1,IF(OR(ISERROR(SUM(A1a!G6:G60)=TRUE),ISERROR(SUM(A1b!G6:G60)=TRUE),ISERROR(SUM(A1c!G6:G60)=TRUE),ISERROR(SUM(A1d!G6:G60)=TRUE),ISERROR(SUM(A1e!G6:G60)=TRUE)),0,SUM(A1a!G6:G60,A1b!G6:G60,A1c!G6:G60,A1d!G6:G60,A1e!G6:G60)),0)</f>
        <v>0</v>
      </c>
      <c r="G13" s="136">
        <f>IF(Textes!G2=1,IF(OR(ISERROR(SUM(A2a!J8:J60)=TRUE),ISERROR(SUM(A2b!J8:J60)=TRUE),ISERROR(SUM(A2c!J8:J60)=TRUE),ISERROR(SUM(A2d!J8:J60)=TRUE),ISERROR(SUM(A2e!J8:J60)=TRUE)),0,SUM(A2a!J8:J60,A2b!J8:J60,A2c!J8:J60,A2d!J8:J60,A2e!J8:J60)),0)</f>
        <v>0</v>
      </c>
      <c r="H13" s="133">
        <f>IF(Textes!G2=1,(-D13+E13-F13+G13),0)</f>
        <v>0</v>
      </c>
      <c r="I13" s="72">
        <f>IF(Textes!G2=1,R13,0)</f>
        <v>0</v>
      </c>
      <c r="J13" s="73">
        <f>IF(Textes!G2=1,S13,0)</f>
        <v>0</v>
      </c>
      <c r="K13" s="133">
        <f>IF(H13=0,0,IF(Textes!G2=1,(+H13*I13/1000),0))</f>
        <v>0</v>
      </c>
      <c r="L13" s="133">
        <f>IF(H13=0,0,IF(Textes!G2=1,(+H13*J13/1000),0))</f>
        <v>0</v>
      </c>
      <c r="P13" s="373" t="str">
        <f>+Textes!A129</f>
        <v>Tiere ab 60 kg LG</v>
      </c>
      <c r="Q13" s="374" t="str">
        <f>+Q12</f>
        <v>Tiere</v>
      </c>
      <c r="R13" s="72">
        <v>22.2</v>
      </c>
      <c r="S13" s="73">
        <v>5.3</v>
      </c>
      <c r="T13" s="580"/>
      <c r="U13" s="581"/>
      <c r="V13" s="580"/>
      <c r="W13" s="581"/>
      <c r="X13" s="580"/>
      <c r="Y13" s="581"/>
    </row>
    <row r="14" spans="2:256" s="19" customFormat="1" ht="13.5" thickBot="1">
      <c r="B14" s="18" t="str">
        <f>+Textes!A132</f>
        <v>Total Nährstoffexport durch Tiere</v>
      </c>
      <c r="C14" s="18"/>
      <c r="D14" s="22"/>
      <c r="E14" s="22"/>
      <c r="F14" s="22"/>
      <c r="G14" s="22"/>
      <c r="H14" s="250">
        <f>SUM(H12:H13)</f>
        <v>0</v>
      </c>
      <c r="I14" s="22"/>
      <c r="J14" s="22"/>
      <c r="K14" s="139">
        <f>SUM(K12:K13)</f>
        <v>0</v>
      </c>
      <c r="L14" s="140">
        <f>SUM(L12:L13)</f>
        <v>0</v>
      </c>
      <c r="M14" s="75"/>
      <c r="N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row>
    <row r="15" spans="2:256" s="19" customFormat="1">
      <c r="D15" s="75"/>
      <c r="E15" s="75"/>
      <c r="F15" s="75"/>
      <c r="G15" s="75"/>
      <c r="H15" s="75"/>
      <c r="I15" s="75"/>
      <c r="J15" s="75"/>
      <c r="K15" s="75"/>
      <c r="L15" s="75"/>
      <c r="M15" s="75"/>
      <c r="N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row>
    <row r="16" spans="2:256" s="12" customFormat="1" ht="16.5">
      <c r="B16" s="20" t="str">
        <f>+Textes!A133</f>
        <v>Teil B: Nährstoffimport durch Futtermittel</v>
      </c>
      <c r="C16" s="20"/>
      <c r="D16" s="75"/>
      <c r="E16" s="75"/>
      <c r="F16" s="75"/>
      <c r="G16" s="75"/>
      <c r="H16" s="75"/>
      <c r="I16" s="75"/>
      <c r="J16" s="75"/>
      <c r="K16" s="19" t="str">
        <f>+Textes!A188</f>
        <v>1g Ntot = 6.25 g RP</v>
      </c>
      <c r="L16" s="19"/>
      <c r="O16" s="19"/>
      <c r="P16" s="19"/>
      <c r="Q16" s="19"/>
      <c r="R16" s="19"/>
      <c r="S16" s="19"/>
      <c r="T16" s="19"/>
      <c r="U16" s="19"/>
    </row>
    <row r="17" spans="2:21" s="12" customFormat="1" ht="5.45" customHeight="1">
      <c r="B17" s="18"/>
      <c r="C17" s="18"/>
      <c r="D17" s="75"/>
      <c r="E17" s="75"/>
      <c r="F17" s="75"/>
      <c r="G17" s="75"/>
      <c r="H17" s="75"/>
      <c r="I17" s="75"/>
      <c r="J17" s="75"/>
      <c r="K17" s="19"/>
      <c r="L17" s="19"/>
      <c r="O17" s="19"/>
      <c r="P17" s="19"/>
      <c r="Q17" s="19"/>
      <c r="R17" s="19"/>
      <c r="S17" s="19"/>
      <c r="T17" s="19"/>
      <c r="U17" s="19"/>
    </row>
    <row r="18" spans="2:21" s="12" customFormat="1" ht="15.75">
      <c r="B18" s="19"/>
      <c r="C18" s="76" t="str">
        <f>+Textes!A134</f>
        <v>A-Inv.</v>
      </c>
      <c r="D18" s="77" t="str">
        <f>+Textes!A135</f>
        <v>E-Inv.</v>
      </c>
      <c r="E18" s="78" t="str">
        <f>+Textes!A136</f>
        <v>Zukauf</v>
      </c>
      <c r="F18" s="79" t="str">
        <f>+Textes!A137</f>
        <v>kg total</v>
      </c>
      <c r="G18" s="79" t="str">
        <f>+Textes!A138</f>
        <v>% TS</v>
      </c>
      <c r="H18" s="169" t="str">
        <f>+Inv!G26</f>
        <v>MJ UEG</v>
      </c>
      <c r="I18" s="170" t="str">
        <f>+Textes!A140</f>
        <v>g RP/kg</v>
      </c>
      <c r="J18" s="171" t="str">
        <f>+Textes!A141</f>
        <v>g P/kg</v>
      </c>
      <c r="K18" s="172" t="str">
        <f>+Textes!A142</f>
        <v>Total kg Ntot</v>
      </c>
      <c r="L18" s="173" t="str">
        <f>+Textes!A143</f>
        <v>Total kg P</v>
      </c>
      <c r="O18" s="19"/>
      <c r="P18" s="75" t="s">
        <v>452</v>
      </c>
      <c r="Q18" s="19" t="s">
        <v>453</v>
      </c>
      <c r="R18" s="19" t="s">
        <v>454</v>
      </c>
      <c r="S18" s="19"/>
      <c r="T18" s="19"/>
      <c r="U18" s="19"/>
    </row>
    <row r="19" spans="2:21" s="12" customFormat="1">
      <c r="B19" s="19"/>
      <c r="C19" s="206" t="str">
        <f>+Textes!A144</f>
        <v>in kg Futter</v>
      </c>
      <c r="D19" s="207"/>
      <c r="E19" s="207"/>
      <c r="F19" s="208"/>
      <c r="G19" s="79"/>
      <c r="H19" s="206" t="str">
        <f>+Textes!A145</f>
        <v>pro kg Futter</v>
      </c>
      <c r="I19" s="207"/>
      <c r="J19" s="208"/>
      <c r="K19" s="281"/>
      <c r="L19" s="282"/>
      <c r="O19" s="19"/>
      <c r="P19" s="75"/>
      <c r="Q19" s="19"/>
      <c r="R19" s="19"/>
      <c r="S19" s="19"/>
      <c r="T19" s="19"/>
      <c r="U19" s="19"/>
    </row>
    <row r="20" spans="2:21" s="12" customFormat="1">
      <c r="B20" s="82">
        <f>Inv!B28</f>
        <v>0</v>
      </c>
      <c r="C20" s="130">
        <f>Inv!J28</f>
        <v>0</v>
      </c>
      <c r="D20" s="131">
        <f>Inv!K28</f>
        <v>0</v>
      </c>
      <c r="E20" s="132">
        <f>IF(ISERROR(SUM('B1'!C13:C57)=TRUE),0,SUM('B1'!C13:C57))</f>
        <v>0</v>
      </c>
      <c r="F20" s="133">
        <f>E20+C20-D20</f>
        <v>0</v>
      </c>
      <c r="G20" s="251">
        <f>Inv!F28</f>
        <v>0</v>
      </c>
      <c r="H20" s="83">
        <f>Inv!G28</f>
        <v>0</v>
      </c>
      <c r="I20" s="279">
        <f>Inv!H28</f>
        <v>0</v>
      </c>
      <c r="J20" s="84">
        <f>Inv!I28</f>
        <v>0</v>
      </c>
      <c r="K20" s="287">
        <f t="shared" ref="K20:K35" si="0">F20*I20/6.25/1000</f>
        <v>0</v>
      </c>
      <c r="L20" s="286">
        <f t="shared" ref="L20:L35" si="1">F20*J20/1000</f>
        <v>0</v>
      </c>
      <c r="O20" s="19"/>
      <c r="P20" s="75">
        <f t="shared" ref="P20:P64" si="2">I20/6.25</f>
        <v>0</v>
      </c>
      <c r="Q20" s="19">
        <f t="shared" ref="Q20:Q35" si="3">+F20*H20</f>
        <v>0</v>
      </c>
      <c r="R20" s="375">
        <f>+F20*G20/88</f>
        <v>0</v>
      </c>
      <c r="S20" s="19"/>
      <c r="T20" s="19"/>
      <c r="U20" s="19"/>
    </row>
    <row r="21" spans="2:21" s="12" customFormat="1">
      <c r="B21" s="85">
        <f>Inv!B29</f>
        <v>0</v>
      </c>
      <c r="C21" s="130">
        <f>Inv!J29</f>
        <v>0</v>
      </c>
      <c r="D21" s="131">
        <f>Inv!K29</f>
        <v>0</v>
      </c>
      <c r="E21" s="132">
        <f>IF(ISERROR(SUM('B1'!E13:E57)=TRUE),0,SUM('B1'!E13:E57))</f>
        <v>0</v>
      </c>
      <c r="F21" s="133">
        <f>E21+C21-D21</f>
        <v>0</v>
      </c>
      <c r="G21" s="251">
        <f>Inv!F29</f>
        <v>0</v>
      </c>
      <c r="H21" s="83">
        <f>Inv!G29</f>
        <v>0</v>
      </c>
      <c r="I21" s="279">
        <f>Inv!H29</f>
        <v>0</v>
      </c>
      <c r="J21" s="84">
        <f>Inv!I29</f>
        <v>0</v>
      </c>
      <c r="K21" s="287">
        <f t="shared" si="0"/>
        <v>0</v>
      </c>
      <c r="L21" s="286">
        <f t="shared" si="1"/>
        <v>0</v>
      </c>
      <c r="O21" s="19"/>
      <c r="P21" s="75">
        <f t="shared" si="2"/>
        <v>0</v>
      </c>
      <c r="Q21" s="19">
        <f t="shared" si="3"/>
        <v>0</v>
      </c>
      <c r="R21" s="375">
        <f t="shared" ref="R21:R35" si="4">+F21*G21/88</f>
        <v>0</v>
      </c>
      <c r="S21" s="19"/>
      <c r="T21" s="19"/>
      <c r="U21" s="19"/>
    </row>
    <row r="22" spans="2:21" s="12" customFormat="1">
      <c r="B22" s="85">
        <f>Inv!B30</f>
        <v>0</v>
      </c>
      <c r="C22" s="130">
        <f>Inv!J30</f>
        <v>0</v>
      </c>
      <c r="D22" s="131">
        <f>Inv!K30</f>
        <v>0</v>
      </c>
      <c r="E22" s="132">
        <f>IF(ISERROR(SUM('B1'!G13:G57)=TRUE),0,SUM('B1'!G13:G57))</f>
        <v>0</v>
      </c>
      <c r="F22" s="133">
        <f t="shared" ref="F22:F35" si="5">E22+C22-D22</f>
        <v>0</v>
      </c>
      <c r="G22" s="251">
        <f>Inv!F30</f>
        <v>0</v>
      </c>
      <c r="H22" s="83">
        <f>Inv!G30</f>
        <v>0</v>
      </c>
      <c r="I22" s="279">
        <f>Inv!H30</f>
        <v>0</v>
      </c>
      <c r="J22" s="84">
        <f>Inv!I30</f>
        <v>0</v>
      </c>
      <c r="K22" s="287">
        <f t="shared" si="0"/>
        <v>0</v>
      </c>
      <c r="L22" s="286">
        <f t="shared" si="1"/>
        <v>0</v>
      </c>
      <c r="O22" s="19"/>
      <c r="P22" s="75">
        <f t="shared" si="2"/>
        <v>0</v>
      </c>
      <c r="Q22" s="19">
        <f t="shared" si="3"/>
        <v>0</v>
      </c>
      <c r="R22" s="375">
        <f t="shared" si="4"/>
        <v>0</v>
      </c>
      <c r="S22" s="19"/>
      <c r="T22" s="19"/>
      <c r="U22" s="19"/>
    </row>
    <row r="23" spans="2:21" s="12" customFormat="1">
      <c r="B23" s="85">
        <f>Inv!B31</f>
        <v>0</v>
      </c>
      <c r="C23" s="130">
        <f>Inv!J31</f>
        <v>0</v>
      </c>
      <c r="D23" s="131">
        <f>Inv!K31</f>
        <v>0</v>
      </c>
      <c r="E23" s="132">
        <f>IF(ISERROR(SUM('B1'!I13:I57)=TRUE),0,SUM('B1'!I13:I57))</f>
        <v>0</v>
      </c>
      <c r="F23" s="133">
        <f t="shared" si="5"/>
        <v>0</v>
      </c>
      <c r="G23" s="251">
        <f>Inv!F31</f>
        <v>0</v>
      </c>
      <c r="H23" s="83">
        <f>Inv!G31</f>
        <v>0</v>
      </c>
      <c r="I23" s="279">
        <f>Inv!H31</f>
        <v>0</v>
      </c>
      <c r="J23" s="84">
        <f>Inv!I31</f>
        <v>0</v>
      </c>
      <c r="K23" s="287">
        <f t="shared" si="0"/>
        <v>0</v>
      </c>
      <c r="L23" s="286">
        <f t="shared" si="1"/>
        <v>0</v>
      </c>
      <c r="O23" s="19"/>
      <c r="P23" s="75">
        <f t="shared" si="2"/>
        <v>0</v>
      </c>
      <c r="Q23" s="19">
        <f t="shared" si="3"/>
        <v>0</v>
      </c>
      <c r="R23" s="375">
        <f t="shared" si="4"/>
        <v>0</v>
      </c>
      <c r="S23" s="19"/>
      <c r="T23" s="19"/>
      <c r="U23" s="19"/>
    </row>
    <row r="24" spans="2:21" s="12" customFormat="1">
      <c r="B24" s="85">
        <f>Inv!B32</f>
        <v>0</v>
      </c>
      <c r="C24" s="130">
        <f>Inv!J32</f>
        <v>0</v>
      </c>
      <c r="D24" s="131">
        <f>Inv!K32</f>
        <v>0</v>
      </c>
      <c r="E24" s="132">
        <f>IF(ISERROR(SUM('B2'!C13:C57)=TRUE),0,SUM('B2'!C13:C57))</f>
        <v>0</v>
      </c>
      <c r="F24" s="133">
        <f t="shared" si="5"/>
        <v>0</v>
      </c>
      <c r="G24" s="251">
        <f>Inv!F32</f>
        <v>0</v>
      </c>
      <c r="H24" s="83">
        <f>Inv!G32</f>
        <v>0</v>
      </c>
      <c r="I24" s="279">
        <f>Inv!H32</f>
        <v>0</v>
      </c>
      <c r="J24" s="84">
        <f>Inv!I32</f>
        <v>0</v>
      </c>
      <c r="K24" s="287">
        <f t="shared" si="0"/>
        <v>0</v>
      </c>
      <c r="L24" s="286">
        <f t="shared" si="1"/>
        <v>0</v>
      </c>
      <c r="O24" s="19"/>
      <c r="P24" s="75">
        <f t="shared" si="2"/>
        <v>0</v>
      </c>
      <c r="Q24" s="19">
        <f t="shared" si="3"/>
        <v>0</v>
      </c>
      <c r="R24" s="375">
        <f t="shared" si="4"/>
        <v>0</v>
      </c>
      <c r="S24" s="19"/>
      <c r="T24" s="19"/>
      <c r="U24" s="19"/>
    </row>
    <row r="25" spans="2:21" s="12" customFormat="1">
      <c r="B25" s="85">
        <f>Inv!B33</f>
        <v>0</v>
      </c>
      <c r="C25" s="130">
        <f>Inv!J33</f>
        <v>0</v>
      </c>
      <c r="D25" s="131">
        <f>Inv!K33</f>
        <v>0</v>
      </c>
      <c r="E25" s="132">
        <f>IF(ISERROR(SUM('B2'!E13:E57)=TRUE),0,SUM('B2'!E13:E57))</f>
        <v>0</v>
      </c>
      <c r="F25" s="133">
        <f t="shared" si="5"/>
        <v>0</v>
      </c>
      <c r="G25" s="251">
        <f>Inv!F33</f>
        <v>0</v>
      </c>
      <c r="H25" s="83">
        <f>Inv!G33</f>
        <v>0</v>
      </c>
      <c r="I25" s="279">
        <f>Inv!H33</f>
        <v>0</v>
      </c>
      <c r="J25" s="84">
        <f>Inv!I33</f>
        <v>0</v>
      </c>
      <c r="K25" s="287">
        <f t="shared" si="0"/>
        <v>0</v>
      </c>
      <c r="L25" s="286">
        <f t="shared" si="1"/>
        <v>0</v>
      </c>
      <c r="O25" s="19"/>
      <c r="P25" s="75">
        <f t="shared" si="2"/>
        <v>0</v>
      </c>
      <c r="Q25" s="19">
        <f t="shared" si="3"/>
        <v>0</v>
      </c>
      <c r="R25" s="375">
        <f t="shared" si="4"/>
        <v>0</v>
      </c>
      <c r="S25" s="19"/>
      <c r="T25" s="19"/>
      <c r="U25" s="19"/>
    </row>
    <row r="26" spans="2:21" s="12" customFormat="1">
      <c r="B26" s="85">
        <f>Inv!B34</f>
        <v>0</v>
      </c>
      <c r="C26" s="130">
        <f>Inv!J34</f>
        <v>0</v>
      </c>
      <c r="D26" s="131">
        <f>Inv!K34</f>
        <v>0</v>
      </c>
      <c r="E26" s="132">
        <f>IF(ISERROR(SUM('B2'!G13:G57)=TRUE),0,SUM('B2'!G13:G57))</f>
        <v>0</v>
      </c>
      <c r="F26" s="133">
        <f t="shared" si="5"/>
        <v>0</v>
      </c>
      <c r="G26" s="251">
        <f>Inv!F34</f>
        <v>0</v>
      </c>
      <c r="H26" s="83">
        <f>Inv!G34</f>
        <v>0</v>
      </c>
      <c r="I26" s="279">
        <f>Inv!H34</f>
        <v>0</v>
      </c>
      <c r="J26" s="84">
        <f>Inv!I34</f>
        <v>0</v>
      </c>
      <c r="K26" s="287">
        <f t="shared" si="0"/>
        <v>0</v>
      </c>
      <c r="L26" s="286">
        <f t="shared" si="1"/>
        <v>0</v>
      </c>
      <c r="O26" s="19"/>
      <c r="P26" s="75">
        <f t="shared" si="2"/>
        <v>0</v>
      </c>
      <c r="Q26" s="19">
        <f t="shared" si="3"/>
        <v>0</v>
      </c>
      <c r="R26" s="375">
        <f t="shared" si="4"/>
        <v>0</v>
      </c>
      <c r="S26" s="19"/>
      <c r="T26" s="19"/>
      <c r="U26" s="19"/>
    </row>
    <row r="27" spans="2:21" s="12" customFormat="1">
      <c r="B27" s="85">
        <f>Inv!B35</f>
        <v>0</v>
      </c>
      <c r="C27" s="130">
        <f>Inv!J35</f>
        <v>0</v>
      </c>
      <c r="D27" s="131">
        <f>Inv!K35</f>
        <v>0</v>
      </c>
      <c r="E27" s="132">
        <f>IF(ISERROR(SUM('B2'!I13:I57)=TRUE),0,SUM('B2'!I13:I57))</f>
        <v>0</v>
      </c>
      <c r="F27" s="133">
        <f t="shared" si="5"/>
        <v>0</v>
      </c>
      <c r="G27" s="251">
        <f>Inv!F35</f>
        <v>0</v>
      </c>
      <c r="H27" s="83">
        <f>Inv!G35</f>
        <v>0</v>
      </c>
      <c r="I27" s="279">
        <f>Inv!H35</f>
        <v>0</v>
      </c>
      <c r="J27" s="84">
        <f>Inv!I35</f>
        <v>0</v>
      </c>
      <c r="K27" s="287">
        <f t="shared" si="0"/>
        <v>0</v>
      </c>
      <c r="L27" s="286">
        <f t="shared" si="1"/>
        <v>0</v>
      </c>
      <c r="O27" s="19"/>
      <c r="P27" s="86">
        <f t="shared" si="2"/>
        <v>0</v>
      </c>
      <c r="Q27" s="19">
        <f t="shared" si="3"/>
        <v>0</v>
      </c>
      <c r="R27" s="375">
        <f t="shared" si="4"/>
        <v>0</v>
      </c>
      <c r="S27" s="19"/>
      <c r="T27" s="19"/>
      <c r="U27" s="19"/>
    </row>
    <row r="28" spans="2:21" s="12" customFormat="1">
      <c r="B28" s="85">
        <f>Inv!B36</f>
        <v>0</v>
      </c>
      <c r="C28" s="130">
        <f>Inv!J36</f>
        <v>0</v>
      </c>
      <c r="D28" s="131">
        <f>Inv!K36</f>
        <v>0</v>
      </c>
      <c r="E28" s="132">
        <f>IF(ISERROR(SUM('B3'!C13:C57)=TRUE),0,SUM('B3'!C13:C57))</f>
        <v>0</v>
      </c>
      <c r="F28" s="133">
        <f t="shared" si="5"/>
        <v>0</v>
      </c>
      <c r="G28" s="251">
        <f>Inv!F36</f>
        <v>0</v>
      </c>
      <c r="H28" s="83">
        <f>Inv!G36</f>
        <v>0</v>
      </c>
      <c r="I28" s="279">
        <f>Inv!H36</f>
        <v>0</v>
      </c>
      <c r="J28" s="84">
        <f>Inv!I36</f>
        <v>0</v>
      </c>
      <c r="K28" s="287">
        <f t="shared" si="0"/>
        <v>0</v>
      </c>
      <c r="L28" s="286">
        <f t="shared" si="1"/>
        <v>0</v>
      </c>
      <c r="O28" s="19"/>
      <c r="P28" s="86">
        <f t="shared" si="2"/>
        <v>0</v>
      </c>
      <c r="Q28" s="19">
        <f t="shared" si="3"/>
        <v>0</v>
      </c>
      <c r="R28" s="375">
        <f t="shared" si="4"/>
        <v>0</v>
      </c>
      <c r="S28" s="19"/>
      <c r="T28" s="19"/>
      <c r="U28" s="19"/>
    </row>
    <row r="29" spans="2:21" s="12" customFormat="1">
      <c r="B29" s="85">
        <f>Inv!B37</f>
        <v>0</v>
      </c>
      <c r="C29" s="130">
        <f>Inv!J37</f>
        <v>0</v>
      </c>
      <c r="D29" s="131">
        <f>Inv!K37</f>
        <v>0</v>
      </c>
      <c r="E29" s="132">
        <f>IF(ISERROR(SUM('B3'!E13:E57)=TRUE),0,SUM('B3'!E13:E57))</f>
        <v>0</v>
      </c>
      <c r="F29" s="133">
        <f t="shared" si="5"/>
        <v>0</v>
      </c>
      <c r="G29" s="251">
        <f>Inv!F37</f>
        <v>0</v>
      </c>
      <c r="H29" s="83">
        <f>Inv!G37</f>
        <v>0</v>
      </c>
      <c r="I29" s="279">
        <f>Inv!H37</f>
        <v>0</v>
      </c>
      <c r="J29" s="84">
        <f>Inv!I37</f>
        <v>0</v>
      </c>
      <c r="K29" s="287">
        <f t="shared" si="0"/>
        <v>0</v>
      </c>
      <c r="L29" s="286">
        <f t="shared" si="1"/>
        <v>0</v>
      </c>
      <c r="O29" s="19"/>
      <c r="P29" s="86">
        <f t="shared" si="2"/>
        <v>0</v>
      </c>
      <c r="Q29" s="19">
        <f t="shared" si="3"/>
        <v>0</v>
      </c>
      <c r="R29" s="375">
        <f t="shared" si="4"/>
        <v>0</v>
      </c>
      <c r="S29" s="19"/>
      <c r="T29" s="19"/>
      <c r="U29" s="19"/>
    </row>
    <row r="30" spans="2:21" s="12" customFormat="1">
      <c r="B30" s="85">
        <f>Inv!B38</f>
        <v>0</v>
      </c>
      <c r="C30" s="130">
        <f>Inv!J38</f>
        <v>0</v>
      </c>
      <c r="D30" s="131">
        <f>Inv!K38</f>
        <v>0</v>
      </c>
      <c r="E30" s="132">
        <f>IF(ISERROR(SUM('B3'!G13:G57)=TRUE),0,SUM('B3'!G13:G57))</f>
        <v>0</v>
      </c>
      <c r="F30" s="133">
        <f t="shared" si="5"/>
        <v>0</v>
      </c>
      <c r="G30" s="251">
        <f>Inv!F38</f>
        <v>0</v>
      </c>
      <c r="H30" s="83">
        <f>Inv!G38</f>
        <v>0</v>
      </c>
      <c r="I30" s="279">
        <f>Inv!H38</f>
        <v>0</v>
      </c>
      <c r="J30" s="84">
        <f>Inv!I38</f>
        <v>0</v>
      </c>
      <c r="K30" s="287">
        <f t="shared" si="0"/>
        <v>0</v>
      </c>
      <c r="L30" s="286">
        <f t="shared" si="1"/>
        <v>0</v>
      </c>
      <c r="O30" s="19"/>
      <c r="P30" s="86">
        <f t="shared" si="2"/>
        <v>0</v>
      </c>
      <c r="Q30" s="19">
        <f t="shared" si="3"/>
        <v>0</v>
      </c>
      <c r="R30" s="375">
        <f t="shared" si="4"/>
        <v>0</v>
      </c>
      <c r="S30" s="19"/>
      <c r="T30" s="19"/>
      <c r="U30" s="19"/>
    </row>
    <row r="31" spans="2:21" s="12" customFormat="1">
      <c r="B31" s="85">
        <f>Inv!B39</f>
        <v>0</v>
      </c>
      <c r="C31" s="130">
        <f>Inv!J39</f>
        <v>0</v>
      </c>
      <c r="D31" s="131">
        <f>Inv!K39</f>
        <v>0</v>
      </c>
      <c r="E31" s="132">
        <f>IF(ISERROR(SUM('B3'!I13:I57)=TRUE),0,SUM('B3'!I13:I57))</f>
        <v>0</v>
      </c>
      <c r="F31" s="133">
        <f t="shared" si="5"/>
        <v>0</v>
      </c>
      <c r="G31" s="251">
        <f>Inv!F39</f>
        <v>0</v>
      </c>
      <c r="H31" s="83">
        <f>Inv!G39</f>
        <v>0</v>
      </c>
      <c r="I31" s="279">
        <f>Inv!H39</f>
        <v>0</v>
      </c>
      <c r="J31" s="84">
        <f>Inv!I39</f>
        <v>0</v>
      </c>
      <c r="K31" s="287">
        <f>F31*I31/6.25/1000</f>
        <v>0</v>
      </c>
      <c r="L31" s="286">
        <f>F31*J31/1000</f>
        <v>0</v>
      </c>
      <c r="O31" s="19"/>
      <c r="P31" s="86">
        <f t="shared" si="2"/>
        <v>0</v>
      </c>
      <c r="Q31" s="19">
        <f>+F31*H31</f>
        <v>0</v>
      </c>
      <c r="R31" s="375">
        <f>+F31*G31/88</f>
        <v>0</v>
      </c>
      <c r="S31" s="19"/>
      <c r="T31" s="19"/>
      <c r="U31" s="19"/>
    </row>
    <row r="32" spans="2:21" s="12" customFormat="1">
      <c r="B32" s="85">
        <f>Inv!B40</f>
        <v>0</v>
      </c>
      <c r="C32" s="130">
        <f>Inv!J40</f>
        <v>0</v>
      </c>
      <c r="D32" s="131">
        <f>Inv!K40</f>
        <v>0</v>
      </c>
      <c r="E32" s="132">
        <f>IF(ISERROR(SUM('B4'!C13:C57)=TRUE),0,SUM('B4'!C13:C57))</f>
        <v>0</v>
      </c>
      <c r="F32" s="133">
        <f t="shared" si="5"/>
        <v>0</v>
      </c>
      <c r="G32" s="251">
        <f>Inv!F40</f>
        <v>0</v>
      </c>
      <c r="H32" s="83">
        <f>Inv!G40</f>
        <v>0</v>
      </c>
      <c r="I32" s="279">
        <f>Inv!H40</f>
        <v>0</v>
      </c>
      <c r="J32" s="84">
        <f>Inv!I40</f>
        <v>0</v>
      </c>
      <c r="K32" s="287">
        <f>F32*I32/6.25/1000</f>
        <v>0</v>
      </c>
      <c r="L32" s="286">
        <f>F32*J32/1000</f>
        <v>0</v>
      </c>
      <c r="O32" s="19"/>
      <c r="P32" s="86">
        <f t="shared" si="2"/>
        <v>0</v>
      </c>
      <c r="Q32" s="19">
        <f>+F32*H32</f>
        <v>0</v>
      </c>
      <c r="R32" s="375">
        <f>+F32*G32/88</f>
        <v>0</v>
      </c>
      <c r="S32" s="19"/>
      <c r="T32" s="19"/>
      <c r="U32" s="19"/>
    </row>
    <row r="33" spans="2:21" s="12" customFormat="1">
      <c r="B33" s="85">
        <f>Inv!B41</f>
        <v>0</v>
      </c>
      <c r="C33" s="130">
        <f>Inv!J41</f>
        <v>0</v>
      </c>
      <c r="D33" s="131">
        <f>Inv!K41</f>
        <v>0</v>
      </c>
      <c r="E33" s="132">
        <f>IF(ISERROR(SUM('B4'!E13:E57)=TRUE),0,SUM('B4'!E13:E57))</f>
        <v>0</v>
      </c>
      <c r="F33" s="133">
        <f t="shared" si="5"/>
        <v>0</v>
      </c>
      <c r="G33" s="251">
        <f>Inv!F41</f>
        <v>0</v>
      </c>
      <c r="H33" s="83">
        <f>Inv!G41</f>
        <v>0</v>
      </c>
      <c r="I33" s="279">
        <f>Inv!H41</f>
        <v>0</v>
      </c>
      <c r="J33" s="84">
        <f>Inv!I41</f>
        <v>0</v>
      </c>
      <c r="K33" s="287">
        <f>F33*I33/6.25/1000</f>
        <v>0</v>
      </c>
      <c r="L33" s="286">
        <f>F33*J33/1000</f>
        <v>0</v>
      </c>
      <c r="O33" s="19"/>
      <c r="P33" s="86">
        <f t="shared" si="2"/>
        <v>0</v>
      </c>
      <c r="Q33" s="19">
        <f>+F33*H33</f>
        <v>0</v>
      </c>
      <c r="R33" s="375">
        <f>+F33*G33/88</f>
        <v>0</v>
      </c>
      <c r="S33" s="19"/>
      <c r="T33" s="19"/>
      <c r="U33" s="19"/>
    </row>
    <row r="34" spans="2:21" s="12" customFormat="1">
      <c r="B34" s="85">
        <f>Inv!B42</f>
        <v>0</v>
      </c>
      <c r="C34" s="130">
        <f>Inv!J42</f>
        <v>0</v>
      </c>
      <c r="D34" s="131">
        <f>Inv!K42</f>
        <v>0</v>
      </c>
      <c r="E34" s="132">
        <f>IF(ISERROR(SUM('B4'!G13:G57)=TRUE),0,SUM('B4'!G13:G57))</f>
        <v>0</v>
      </c>
      <c r="F34" s="133">
        <f t="shared" si="5"/>
        <v>0</v>
      </c>
      <c r="G34" s="251">
        <f>Inv!F42</f>
        <v>0</v>
      </c>
      <c r="H34" s="83">
        <f>Inv!G42</f>
        <v>0</v>
      </c>
      <c r="I34" s="279">
        <f>Inv!H42</f>
        <v>0</v>
      </c>
      <c r="J34" s="84">
        <f>Inv!I42</f>
        <v>0</v>
      </c>
      <c r="K34" s="287">
        <f>F34*I34/6.25/1000</f>
        <v>0</v>
      </c>
      <c r="L34" s="286">
        <f>F34*J34/1000</f>
        <v>0</v>
      </c>
      <c r="O34" s="19"/>
      <c r="P34" s="86">
        <f t="shared" si="2"/>
        <v>0</v>
      </c>
      <c r="Q34" s="19">
        <f>+F34*H34</f>
        <v>0</v>
      </c>
      <c r="R34" s="375">
        <f>+F34*G34/88</f>
        <v>0</v>
      </c>
      <c r="S34" s="19"/>
      <c r="T34" s="19"/>
      <c r="U34" s="19"/>
    </row>
    <row r="35" spans="2:21" s="12" customFormat="1">
      <c r="B35" s="87">
        <f>Inv!B43</f>
        <v>0</v>
      </c>
      <c r="C35" s="134">
        <f>Inv!J43</f>
        <v>0</v>
      </c>
      <c r="D35" s="135">
        <f>Inv!K43</f>
        <v>0</v>
      </c>
      <c r="E35" s="136">
        <f>IF(ISERROR(SUM('B4'!I13:I57)=TRUE),0,SUM('B4'!I13:I57))</f>
        <v>0</v>
      </c>
      <c r="F35" s="137">
        <f t="shared" si="5"/>
        <v>0</v>
      </c>
      <c r="G35" s="251">
        <f>Inv!F43</f>
        <v>0</v>
      </c>
      <c r="H35" s="72">
        <f>Inv!G43</f>
        <v>0</v>
      </c>
      <c r="I35" s="280">
        <f>Inv!H43</f>
        <v>0</v>
      </c>
      <c r="J35" s="73">
        <f>Inv!I43</f>
        <v>0</v>
      </c>
      <c r="K35" s="288">
        <f t="shared" si="0"/>
        <v>0</v>
      </c>
      <c r="L35" s="289">
        <f t="shared" si="1"/>
        <v>0</v>
      </c>
      <c r="O35" s="19"/>
      <c r="P35" s="86">
        <f t="shared" si="2"/>
        <v>0</v>
      </c>
      <c r="Q35" s="19">
        <f t="shared" si="3"/>
        <v>0</v>
      </c>
      <c r="R35" s="375">
        <f t="shared" si="4"/>
        <v>0</v>
      </c>
      <c r="S35" s="19"/>
      <c r="T35" s="19"/>
      <c r="U35" s="19"/>
    </row>
    <row r="36" spans="2:21" s="12" customFormat="1" hidden="1">
      <c r="B36" s="82">
        <f>Inv!B44</f>
        <v>0</v>
      </c>
      <c r="C36" s="130">
        <f>Inv!J44</f>
        <v>0</v>
      </c>
      <c r="D36" s="131">
        <f>Inv!K44</f>
        <v>0</v>
      </c>
      <c r="E36" s="132">
        <f>IF(ISERROR(SUM('BX1'!C13:C57)=TRUE),0,SUM('BX1'!C13:C57))</f>
        <v>0</v>
      </c>
      <c r="F36" s="133">
        <f>E36+C36-D36</f>
        <v>0</v>
      </c>
      <c r="G36" s="251">
        <f>Inv!F44</f>
        <v>0</v>
      </c>
      <c r="H36" s="83">
        <f>Inv!G44</f>
        <v>0</v>
      </c>
      <c r="I36" s="279">
        <f>Inv!H44</f>
        <v>0</v>
      </c>
      <c r="J36" s="84">
        <f>Inv!I44</f>
        <v>0</v>
      </c>
      <c r="K36" s="287">
        <f t="shared" ref="K36:K46" si="6">F36*I36/6.25/1000</f>
        <v>0</v>
      </c>
      <c r="L36" s="286">
        <f t="shared" ref="L36:L46" si="7">F36*J36/1000</f>
        <v>0</v>
      </c>
      <c r="O36" s="19"/>
      <c r="P36" s="75">
        <f t="shared" ref="P36:P51" si="8">I36/6.25</f>
        <v>0</v>
      </c>
      <c r="Q36" s="19">
        <f t="shared" ref="Q36:Q46" si="9">+F36*H36</f>
        <v>0</v>
      </c>
      <c r="R36" s="375">
        <f>+F36*G36/88</f>
        <v>0</v>
      </c>
      <c r="S36" s="19"/>
      <c r="T36" s="19"/>
      <c r="U36" s="19"/>
    </row>
    <row r="37" spans="2:21" s="12" customFormat="1" hidden="1">
      <c r="B37" s="85">
        <f>Inv!B45</f>
        <v>0</v>
      </c>
      <c r="C37" s="130">
        <f>Inv!J45</f>
        <v>0</v>
      </c>
      <c r="D37" s="131">
        <f>Inv!K45</f>
        <v>0</v>
      </c>
      <c r="E37" s="132">
        <f>IF(ISERROR(SUM('BX1'!E13:E57)=TRUE),0,SUM('BX1'!E13:E57))</f>
        <v>0</v>
      </c>
      <c r="F37" s="133">
        <f>E37+C37-D37</f>
        <v>0</v>
      </c>
      <c r="G37" s="251">
        <f>Inv!F45</f>
        <v>0</v>
      </c>
      <c r="H37" s="83">
        <f>Inv!G45</f>
        <v>0</v>
      </c>
      <c r="I37" s="279">
        <f>Inv!H45</f>
        <v>0</v>
      </c>
      <c r="J37" s="84">
        <f>Inv!I45</f>
        <v>0</v>
      </c>
      <c r="K37" s="287">
        <f t="shared" si="6"/>
        <v>0</v>
      </c>
      <c r="L37" s="286">
        <f t="shared" si="7"/>
        <v>0</v>
      </c>
      <c r="O37" s="19"/>
      <c r="P37" s="75">
        <f t="shared" si="8"/>
        <v>0</v>
      </c>
      <c r="Q37" s="19">
        <f t="shared" si="9"/>
        <v>0</v>
      </c>
      <c r="R37" s="375">
        <f t="shared" ref="R37:R46" si="10">+F37*G37/88</f>
        <v>0</v>
      </c>
      <c r="S37" s="19"/>
      <c r="T37" s="19"/>
      <c r="U37" s="19"/>
    </row>
    <row r="38" spans="2:21" s="12" customFormat="1" hidden="1">
      <c r="B38" s="85">
        <f>Inv!B46</f>
        <v>0</v>
      </c>
      <c r="C38" s="130">
        <f>Inv!J46</f>
        <v>0</v>
      </c>
      <c r="D38" s="131">
        <f>Inv!K46</f>
        <v>0</v>
      </c>
      <c r="E38" s="132">
        <f>IF(ISERROR(SUM('BX1'!G13:G57)=TRUE),0,SUM('BX1'!G13:G57))</f>
        <v>0</v>
      </c>
      <c r="F38" s="133">
        <f t="shared" ref="F38:F51" si="11">E38+C38-D38</f>
        <v>0</v>
      </c>
      <c r="G38" s="251">
        <f>Inv!F46</f>
        <v>0</v>
      </c>
      <c r="H38" s="83">
        <f>Inv!G46</f>
        <v>0</v>
      </c>
      <c r="I38" s="279">
        <f>Inv!H46</f>
        <v>0</v>
      </c>
      <c r="J38" s="84">
        <f>Inv!I46</f>
        <v>0</v>
      </c>
      <c r="K38" s="287">
        <f t="shared" si="6"/>
        <v>0</v>
      </c>
      <c r="L38" s="286">
        <f t="shared" si="7"/>
        <v>0</v>
      </c>
      <c r="O38" s="19"/>
      <c r="P38" s="75">
        <f t="shared" si="8"/>
        <v>0</v>
      </c>
      <c r="Q38" s="19">
        <f t="shared" si="9"/>
        <v>0</v>
      </c>
      <c r="R38" s="375">
        <f t="shared" si="10"/>
        <v>0</v>
      </c>
      <c r="S38" s="19"/>
      <c r="T38" s="19"/>
      <c r="U38" s="19"/>
    </row>
    <row r="39" spans="2:21" s="12" customFormat="1" hidden="1">
      <c r="B39" s="85">
        <f>Inv!B47</f>
        <v>0</v>
      </c>
      <c r="C39" s="130">
        <f>Inv!J47</f>
        <v>0</v>
      </c>
      <c r="D39" s="131">
        <f>Inv!K47</f>
        <v>0</v>
      </c>
      <c r="E39" s="132">
        <f>IF(ISERROR(SUM('BX1'!I13:I57)=TRUE),0,SUM('BX1'!I13:I57))</f>
        <v>0</v>
      </c>
      <c r="F39" s="133">
        <f t="shared" si="11"/>
        <v>0</v>
      </c>
      <c r="G39" s="251">
        <f>Inv!F47</f>
        <v>0</v>
      </c>
      <c r="H39" s="83">
        <f>Inv!G47</f>
        <v>0</v>
      </c>
      <c r="I39" s="279">
        <f>Inv!H47</f>
        <v>0</v>
      </c>
      <c r="J39" s="84">
        <f>Inv!I47</f>
        <v>0</v>
      </c>
      <c r="K39" s="287">
        <f t="shared" si="6"/>
        <v>0</v>
      </c>
      <c r="L39" s="286">
        <f t="shared" si="7"/>
        <v>0</v>
      </c>
      <c r="O39" s="19"/>
      <c r="P39" s="75">
        <f t="shared" si="8"/>
        <v>0</v>
      </c>
      <c r="Q39" s="19">
        <f t="shared" si="9"/>
        <v>0</v>
      </c>
      <c r="R39" s="375">
        <f t="shared" si="10"/>
        <v>0</v>
      </c>
      <c r="S39" s="19"/>
      <c r="T39" s="19"/>
      <c r="U39" s="19"/>
    </row>
    <row r="40" spans="2:21" s="12" customFormat="1" hidden="1">
      <c r="B40" s="85">
        <f>Inv!B48</f>
        <v>0</v>
      </c>
      <c r="C40" s="130">
        <f>Inv!J48</f>
        <v>0</v>
      </c>
      <c r="D40" s="131">
        <f>Inv!K48</f>
        <v>0</v>
      </c>
      <c r="E40" s="132">
        <f>IF(ISERROR(SUM('BX2'!C13:C57)=TRUE),0,SUM('BX2'!C13:C57))</f>
        <v>0</v>
      </c>
      <c r="F40" s="133">
        <f t="shared" si="11"/>
        <v>0</v>
      </c>
      <c r="G40" s="251">
        <f>Inv!F48</f>
        <v>0</v>
      </c>
      <c r="H40" s="83">
        <f>Inv!G48</f>
        <v>0</v>
      </c>
      <c r="I40" s="279">
        <f>Inv!H48</f>
        <v>0</v>
      </c>
      <c r="J40" s="84">
        <f>Inv!I48</f>
        <v>0</v>
      </c>
      <c r="K40" s="287">
        <f t="shared" si="6"/>
        <v>0</v>
      </c>
      <c r="L40" s="286">
        <f t="shared" si="7"/>
        <v>0</v>
      </c>
      <c r="O40" s="19"/>
      <c r="P40" s="75">
        <f t="shared" si="8"/>
        <v>0</v>
      </c>
      <c r="Q40" s="19">
        <f t="shared" si="9"/>
        <v>0</v>
      </c>
      <c r="R40" s="375">
        <f t="shared" si="10"/>
        <v>0</v>
      </c>
      <c r="S40" s="19"/>
      <c r="T40" s="19"/>
      <c r="U40" s="19"/>
    </row>
    <row r="41" spans="2:21" s="12" customFormat="1" hidden="1">
      <c r="B41" s="85">
        <f>Inv!B49</f>
        <v>0</v>
      </c>
      <c r="C41" s="130">
        <f>Inv!J49</f>
        <v>0</v>
      </c>
      <c r="D41" s="131">
        <f>Inv!K49</f>
        <v>0</v>
      </c>
      <c r="E41" s="132">
        <f>IF(ISERROR(SUM('BX2'!E13:E57)=TRUE),0,SUM('BX2'!E13:E57))</f>
        <v>0</v>
      </c>
      <c r="F41" s="133">
        <f t="shared" si="11"/>
        <v>0</v>
      </c>
      <c r="G41" s="251">
        <f>Inv!F49</f>
        <v>0</v>
      </c>
      <c r="H41" s="83">
        <f>Inv!G49</f>
        <v>0</v>
      </c>
      <c r="I41" s="279">
        <f>Inv!H49</f>
        <v>0</v>
      </c>
      <c r="J41" s="84">
        <f>Inv!I49</f>
        <v>0</v>
      </c>
      <c r="K41" s="287">
        <f t="shared" si="6"/>
        <v>0</v>
      </c>
      <c r="L41" s="286">
        <f t="shared" si="7"/>
        <v>0</v>
      </c>
      <c r="O41" s="19"/>
      <c r="P41" s="75">
        <f t="shared" si="8"/>
        <v>0</v>
      </c>
      <c r="Q41" s="19">
        <f t="shared" si="9"/>
        <v>0</v>
      </c>
      <c r="R41" s="375">
        <f t="shared" si="10"/>
        <v>0</v>
      </c>
      <c r="S41" s="19"/>
      <c r="T41" s="19"/>
      <c r="U41" s="19"/>
    </row>
    <row r="42" spans="2:21" s="12" customFormat="1" hidden="1">
      <c r="B42" s="85">
        <f>Inv!B50</f>
        <v>0</v>
      </c>
      <c r="C42" s="130">
        <f>Inv!J50</f>
        <v>0</v>
      </c>
      <c r="D42" s="131">
        <f>Inv!K50</f>
        <v>0</v>
      </c>
      <c r="E42" s="132">
        <f>IF(ISERROR(SUM('BX2'!G13:G57)=TRUE),0,SUM('BX2'!G13:G57))</f>
        <v>0</v>
      </c>
      <c r="F42" s="133">
        <f t="shared" si="11"/>
        <v>0</v>
      </c>
      <c r="G42" s="251">
        <f>Inv!F50</f>
        <v>0</v>
      </c>
      <c r="H42" s="83">
        <f>Inv!G50</f>
        <v>0</v>
      </c>
      <c r="I42" s="279">
        <f>Inv!H50</f>
        <v>0</v>
      </c>
      <c r="J42" s="84">
        <f>Inv!I50</f>
        <v>0</v>
      </c>
      <c r="K42" s="287">
        <f t="shared" si="6"/>
        <v>0</v>
      </c>
      <c r="L42" s="286">
        <f t="shared" si="7"/>
        <v>0</v>
      </c>
      <c r="O42" s="19"/>
      <c r="P42" s="75">
        <f t="shared" si="8"/>
        <v>0</v>
      </c>
      <c r="Q42" s="19">
        <f t="shared" si="9"/>
        <v>0</v>
      </c>
      <c r="R42" s="375">
        <f t="shared" si="10"/>
        <v>0</v>
      </c>
      <c r="S42" s="19"/>
      <c r="T42" s="19"/>
      <c r="U42" s="19"/>
    </row>
    <row r="43" spans="2:21" s="12" customFormat="1" hidden="1">
      <c r="B43" s="85">
        <f>Inv!B51</f>
        <v>0</v>
      </c>
      <c r="C43" s="130">
        <f>Inv!J51</f>
        <v>0</v>
      </c>
      <c r="D43" s="131">
        <f>Inv!K51</f>
        <v>0</v>
      </c>
      <c r="E43" s="132">
        <f>IF(ISERROR(SUM('BX2'!I13:I57)=TRUE),0,SUM('BX2'!I13:I57))</f>
        <v>0</v>
      </c>
      <c r="F43" s="133">
        <f t="shared" si="11"/>
        <v>0</v>
      </c>
      <c r="G43" s="251">
        <f>Inv!F51</f>
        <v>0</v>
      </c>
      <c r="H43" s="83">
        <f>Inv!G51</f>
        <v>0</v>
      </c>
      <c r="I43" s="279">
        <f>Inv!H51</f>
        <v>0</v>
      </c>
      <c r="J43" s="84">
        <f>Inv!I51</f>
        <v>0</v>
      </c>
      <c r="K43" s="287">
        <f t="shared" si="6"/>
        <v>0</v>
      </c>
      <c r="L43" s="286">
        <f t="shared" si="7"/>
        <v>0</v>
      </c>
      <c r="O43" s="19"/>
      <c r="P43" s="86">
        <f t="shared" si="8"/>
        <v>0</v>
      </c>
      <c r="Q43" s="19">
        <f t="shared" si="9"/>
        <v>0</v>
      </c>
      <c r="R43" s="375">
        <f t="shared" si="10"/>
        <v>0</v>
      </c>
      <c r="S43" s="19"/>
      <c r="T43" s="19"/>
      <c r="U43" s="19"/>
    </row>
    <row r="44" spans="2:21" s="12" customFormat="1" hidden="1">
      <c r="B44" s="85">
        <f>Inv!B52</f>
        <v>0</v>
      </c>
      <c r="C44" s="130">
        <f>Inv!J52</f>
        <v>0</v>
      </c>
      <c r="D44" s="131">
        <f>Inv!K52</f>
        <v>0</v>
      </c>
      <c r="E44" s="132">
        <f>IF(ISERROR(SUM('BX3'!C13:C57)=TRUE),0,SUM('BX3'!C13:C57))</f>
        <v>0</v>
      </c>
      <c r="F44" s="133">
        <f t="shared" si="11"/>
        <v>0</v>
      </c>
      <c r="G44" s="251">
        <f>Inv!F52</f>
        <v>0</v>
      </c>
      <c r="H44" s="83">
        <f>Inv!G52</f>
        <v>0</v>
      </c>
      <c r="I44" s="279">
        <f>Inv!H52</f>
        <v>0</v>
      </c>
      <c r="J44" s="84">
        <f>Inv!I52</f>
        <v>0</v>
      </c>
      <c r="K44" s="287">
        <f t="shared" si="6"/>
        <v>0</v>
      </c>
      <c r="L44" s="286">
        <f t="shared" si="7"/>
        <v>0</v>
      </c>
      <c r="O44" s="19"/>
      <c r="P44" s="86">
        <f t="shared" si="8"/>
        <v>0</v>
      </c>
      <c r="Q44" s="19">
        <f t="shared" si="9"/>
        <v>0</v>
      </c>
      <c r="R44" s="375">
        <f t="shared" si="10"/>
        <v>0</v>
      </c>
      <c r="S44" s="19"/>
      <c r="T44" s="19"/>
      <c r="U44" s="19"/>
    </row>
    <row r="45" spans="2:21" s="12" customFormat="1" hidden="1">
      <c r="B45" s="85">
        <f>Inv!B53</f>
        <v>0</v>
      </c>
      <c r="C45" s="130">
        <f>Inv!J53</f>
        <v>0</v>
      </c>
      <c r="D45" s="131">
        <f>Inv!K53</f>
        <v>0</v>
      </c>
      <c r="E45" s="132">
        <f>IF(ISERROR(SUM('BX3'!E13:E57)=TRUE),0,SUM('BX3'!E13:E57))</f>
        <v>0</v>
      </c>
      <c r="F45" s="133">
        <f t="shared" si="11"/>
        <v>0</v>
      </c>
      <c r="G45" s="251">
        <f>Inv!F53</f>
        <v>0</v>
      </c>
      <c r="H45" s="83">
        <f>Inv!G53</f>
        <v>0</v>
      </c>
      <c r="I45" s="279">
        <f>Inv!H53</f>
        <v>0</v>
      </c>
      <c r="J45" s="84">
        <f>Inv!I53</f>
        <v>0</v>
      </c>
      <c r="K45" s="287">
        <f t="shared" si="6"/>
        <v>0</v>
      </c>
      <c r="L45" s="286">
        <f t="shared" si="7"/>
        <v>0</v>
      </c>
      <c r="O45" s="19"/>
      <c r="P45" s="86">
        <f t="shared" si="8"/>
        <v>0</v>
      </c>
      <c r="Q45" s="19">
        <f t="shared" si="9"/>
        <v>0</v>
      </c>
      <c r="R45" s="375">
        <f t="shared" si="10"/>
        <v>0</v>
      </c>
      <c r="S45" s="19"/>
      <c r="T45" s="19"/>
      <c r="U45" s="19"/>
    </row>
    <row r="46" spans="2:21" s="12" customFormat="1" hidden="1">
      <c r="B46" s="85">
        <f>Inv!B54</f>
        <v>0</v>
      </c>
      <c r="C46" s="130">
        <f>Inv!J54</f>
        <v>0</v>
      </c>
      <c r="D46" s="131">
        <f>Inv!K54</f>
        <v>0</v>
      </c>
      <c r="E46" s="132">
        <f>IF(ISERROR(SUM('BX3'!G13:G57)=TRUE),0,SUM('BX3'!G13:G57))</f>
        <v>0</v>
      </c>
      <c r="F46" s="133">
        <f t="shared" si="11"/>
        <v>0</v>
      </c>
      <c r="G46" s="251">
        <f>Inv!F54</f>
        <v>0</v>
      </c>
      <c r="H46" s="83">
        <f>Inv!G54</f>
        <v>0</v>
      </c>
      <c r="I46" s="279">
        <f>Inv!H54</f>
        <v>0</v>
      </c>
      <c r="J46" s="84">
        <f>Inv!I54</f>
        <v>0</v>
      </c>
      <c r="K46" s="287">
        <f t="shared" si="6"/>
        <v>0</v>
      </c>
      <c r="L46" s="286">
        <f t="shared" si="7"/>
        <v>0</v>
      </c>
      <c r="O46" s="19"/>
      <c r="P46" s="86">
        <f t="shared" si="8"/>
        <v>0</v>
      </c>
      <c r="Q46" s="19">
        <f t="shared" si="9"/>
        <v>0</v>
      </c>
      <c r="R46" s="375">
        <f t="shared" si="10"/>
        <v>0</v>
      </c>
      <c r="S46" s="19"/>
      <c r="T46" s="19"/>
      <c r="U46" s="19"/>
    </row>
    <row r="47" spans="2:21" s="12" customFormat="1" hidden="1">
      <c r="B47" s="85">
        <f>Inv!B55</f>
        <v>0</v>
      </c>
      <c r="C47" s="130">
        <f>Inv!J55</f>
        <v>0</v>
      </c>
      <c r="D47" s="131">
        <f>Inv!K55</f>
        <v>0</v>
      </c>
      <c r="E47" s="132">
        <f>IF(ISERROR(SUM('BX3'!I13:I57)=TRUE),0,SUM('BX3'!I13:I57))</f>
        <v>0</v>
      </c>
      <c r="F47" s="133">
        <f t="shared" si="11"/>
        <v>0</v>
      </c>
      <c r="G47" s="251">
        <f>Inv!F55</f>
        <v>0</v>
      </c>
      <c r="H47" s="83">
        <f>Inv!G55</f>
        <v>0</v>
      </c>
      <c r="I47" s="279">
        <f>Inv!H55</f>
        <v>0</v>
      </c>
      <c r="J47" s="84">
        <f>Inv!I55</f>
        <v>0</v>
      </c>
      <c r="K47" s="287">
        <f>F47*I47/6.25/1000</f>
        <v>0</v>
      </c>
      <c r="L47" s="286">
        <f>F47*J47/1000</f>
        <v>0</v>
      </c>
      <c r="O47" s="19"/>
      <c r="P47" s="86">
        <f t="shared" si="8"/>
        <v>0</v>
      </c>
      <c r="Q47" s="19">
        <f>+F47*H47</f>
        <v>0</v>
      </c>
      <c r="R47" s="375">
        <f>+F47*G47/88</f>
        <v>0</v>
      </c>
      <c r="S47" s="19"/>
      <c r="T47" s="19"/>
      <c r="U47" s="19"/>
    </row>
    <row r="48" spans="2:21" s="12" customFormat="1" hidden="1">
      <c r="B48" s="85">
        <f>Inv!B56</f>
        <v>0</v>
      </c>
      <c r="C48" s="130">
        <f>Inv!J56</f>
        <v>0</v>
      </c>
      <c r="D48" s="131">
        <f>Inv!K56</f>
        <v>0</v>
      </c>
      <c r="E48" s="132">
        <f>IF(ISERROR(SUM('BX4'!C13:C57)=TRUE),0,SUM('BX4'!C13:C57))</f>
        <v>0</v>
      </c>
      <c r="F48" s="133">
        <f t="shared" si="11"/>
        <v>0</v>
      </c>
      <c r="G48" s="251">
        <f>Inv!F56</f>
        <v>0</v>
      </c>
      <c r="H48" s="83">
        <f>Inv!G56</f>
        <v>0</v>
      </c>
      <c r="I48" s="279">
        <f>Inv!H56</f>
        <v>0</v>
      </c>
      <c r="J48" s="84">
        <f>Inv!I56</f>
        <v>0</v>
      </c>
      <c r="K48" s="287">
        <f>F48*I48/6.25/1000</f>
        <v>0</v>
      </c>
      <c r="L48" s="286">
        <f>F48*J48/1000</f>
        <v>0</v>
      </c>
      <c r="O48" s="19"/>
      <c r="P48" s="86">
        <f t="shared" si="8"/>
        <v>0</v>
      </c>
      <c r="Q48" s="19">
        <f>+F48*H48</f>
        <v>0</v>
      </c>
      <c r="R48" s="375">
        <f>+F48*G48/88</f>
        <v>0</v>
      </c>
      <c r="S48" s="19"/>
      <c r="T48" s="19"/>
      <c r="U48" s="19"/>
    </row>
    <row r="49" spans="2:21" s="12" customFormat="1" hidden="1">
      <c r="B49" s="85">
        <f>Inv!B57</f>
        <v>0</v>
      </c>
      <c r="C49" s="130">
        <f>Inv!J57</f>
        <v>0</v>
      </c>
      <c r="D49" s="131">
        <f>Inv!K57</f>
        <v>0</v>
      </c>
      <c r="E49" s="132">
        <f>IF(ISERROR(SUM('BX4'!E13:E57)=TRUE),0,SUM('BX4'!E13:E57))</f>
        <v>0</v>
      </c>
      <c r="F49" s="133">
        <f t="shared" si="11"/>
        <v>0</v>
      </c>
      <c r="G49" s="251">
        <f>Inv!F57</f>
        <v>0</v>
      </c>
      <c r="H49" s="83">
        <f>Inv!G57</f>
        <v>0</v>
      </c>
      <c r="I49" s="279">
        <f>Inv!H57</f>
        <v>0</v>
      </c>
      <c r="J49" s="84">
        <f>Inv!I57</f>
        <v>0</v>
      </c>
      <c r="K49" s="287">
        <f>F49*I49/6.25/1000</f>
        <v>0</v>
      </c>
      <c r="L49" s="286">
        <f>F49*J49/1000</f>
        <v>0</v>
      </c>
      <c r="O49" s="19"/>
      <c r="P49" s="86">
        <f t="shared" si="8"/>
        <v>0</v>
      </c>
      <c r="Q49" s="19">
        <f>+F49*H49</f>
        <v>0</v>
      </c>
      <c r="R49" s="375">
        <f>+F49*G49/88</f>
        <v>0</v>
      </c>
      <c r="S49" s="19"/>
      <c r="T49" s="19"/>
      <c r="U49" s="19"/>
    </row>
    <row r="50" spans="2:21" s="12" customFormat="1" hidden="1">
      <c r="B50" s="85">
        <f>Inv!B58</f>
        <v>0</v>
      </c>
      <c r="C50" s="130">
        <f>Inv!J58</f>
        <v>0</v>
      </c>
      <c r="D50" s="131">
        <f>Inv!K58</f>
        <v>0</v>
      </c>
      <c r="E50" s="132">
        <f>IF(ISERROR(SUM('BX4'!G13:G57)=TRUE),0,SUM('BX4'!G13:G57))</f>
        <v>0</v>
      </c>
      <c r="F50" s="133">
        <f t="shared" si="11"/>
        <v>0</v>
      </c>
      <c r="G50" s="251">
        <f>Inv!F58</f>
        <v>0</v>
      </c>
      <c r="H50" s="83">
        <f>Inv!G58</f>
        <v>0</v>
      </c>
      <c r="I50" s="279">
        <f>Inv!H58</f>
        <v>0</v>
      </c>
      <c r="J50" s="84">
        <f>Inv!I58</f>
        <v>0</v>
      </c>
      <c r="K50" s="287">
        <f>F50*I50/6.25/1000</f>
        <v>0</v>
      </c>
      <c r="L50" s="286">
        <f>F50*J50/1000</f>
        <v>0</v>
      </c>
      <c r="O50" s="19"/>
      <c r="P50" s="86">
        <f t="shared" si="8"/>
        <v>0</v>
      </c>
      <c r="Q50" s="19">
        <f>+F50*H50</f>
        <v>0</v>
      </c>
      <c r="R50" s="375">
        <f>+F50*G50/88</f>
        <v>0</v>
      </c>
      <c r="S50" s="19"/>
      <c r="T50" s="19"/>
      <c r="U50" s="19"/>
    </row>
    <row r="51" spans="2:21" s="12" customFormat="1" hidden="1">
      <c r="B51" s="87">
        <f>Inv!B59</f>
        <v>0</v>
      </c>
      <c r="C51" s="134">
        <f>Inv!J59</f>
        <v>0</v>
      </c>
      <c r="D51" s="135">
        <f>Inv!K59</f>
        <v>0</v>
      </c>
      <c r="E51" s="136">
        <f>IF(ISERROR(SUM('BX4'!I13:I57)=TRUE),0,SUM('BX4'!I13:I57))</f>
        <v>0</v>
      </c>
      <c r="F51" s="137">
        <f t="shared" si="11"/>
        <v>0</v>
      </c>
      <c r="G51" s="251">
        <f>Inv!F59</f>
        <v>0</v>
      </c>
      <c r="H51" s="72">
        <f>Inv!G59</f>
        <v>0</v>
      </c>
      <c r="I51" s="280">
        <f>Inv!H59</f>
        <v>0</v>
      </c>
      <c r="J51" s="73">
        <f>Inv!I59</f>
        <v>0</v>
      </c>
      <c r="K51" s="288">
        <f>F51*I51/6.25/1000</f>
        <v>0</v>
      </c>
      <c r="L51" s="289">
        <f>F51*J51/1000</f>
        <v>0</v>
      </c>
      <c r="O51" s="19"/>
      <c r="P51" s="86">
        <f t="shared" si="8"/>
        <v>0</v>
      </c>
      <c r="Q51" s="19">
        <f>+F51*H51</f>
        <v>0</v>
      </c>
      <c r="R51" s="375">
        <f>+F51*G51/88</f>
        <v>0</v>
      </c>
      <c r="S51" s="19"/>
      <c r="T51" s="19"/>
      <c r="U51" s="19"/>
    </row>
    <row r="52" spans="2:21" s="12" customFormat="1">
      <c r="B52" s="85"/>
      <c r="C52" s="209" t="str">
        <f>+Textes!A146</f>
        <v>in kg TS</v>
      </c>
      <c r="D52" s="210"/>
      <c r="E52" s="210"/>
      <c r="F52" s="211"/>
      <c r="G52" s="79" t="str">
        <f>+G18</f>
        <v>% TS</v>
      </c>
      <c r="H52" s="214" t="str">
        <f>+Textes!A147</f>
        <v>pro kg TS</v>
      </c>
      <c r="I52" s="215"/>
      <c r="J52" s="216"/>
      <c r="K52" s="290"/>
      <c r="L52" s="291"/>
      <c r="O52" s="19"/>
      <c r="P52" s="86"/>
      <c r="Q52" s="19"/>
      <c r="R52" s="375"/>
      <c r="S52" s="19"/>
      <c r="T52" s="19"/>
      <c r="U52" s="19"/>
    </row>
    <row r="53" spans="2:21" s="12" customFormat="1">
      <c r="B53" s="85">
        <f>Inv!B63</f>
        <v>0</v>
      </c>
      <c r="C53" s="130">
        <f>IF(Inv!J63=0,0,Inv!J63*'B5'!C5/100)</f>
        <v>0</v>
      </c>
      <c r="D53" s="131">
        <f>IF(Inv!K63=0,0,Inv!K63*'B5'!C5/100)</f>
        <v>0</v>
      </c>
      <c r="E53" s="132">
        <f>IF(SUM('B5'!C11:C57)=0,0,SUM('B5'!C11:C57)*'B5'!C5/100)</f>
        <v>0</v>
      </c>
      <c r="F53" s="133">
        <f t="shared" ref="F53:F64" si="12">E53+C53-D53</f>
        <v>0</v>
      </c>
      <c r="G53" s="251">
        <f>Inv!F63</f>
        <v>0</v>
      </c>
      <c r="H53" s="83">
        <f>Inv!G63</f>
        <v>0</v>
      </c>
      <c r="I53" s="279">
        <f>Inv!H63</f>
        <v>0</v>
      </c>
      <c r="J53" s="84">
        <f>Inv!I63</f>
        <v>0</v>
      </c>
      <c r="K53" s="287">
        <f t="shared" ref="K53:K64" si="13">F53*I53/6.25/1000</f>
        <v>0</v>
      </c>
      <c r="L53" s="286">
        <f t="shared" ref="L53:L64" si="14">F53*J53/1000</f>
        <v>0</v>
      </c>
      <c r="O53" s="19"/>
      <c r="P53" s="86">
        <f t="shared" si="2"/>
        <v>0</v>
      </c>
      <c r="Q53" s="19">
        <f t="shared" ref="Q53:Q64" si="15">+F53*H53</f>
        <v>0</v>
      </c>
      <c r="R53" s="19">
        <f t="shared" ref="R53:R64" si="16">+F53/0.88</f>
        <v>0</v>
      </c>
      <c r="S53" s="19"/>
      <c r="T53" s="19"/>
      <c r="U53" s="19"/>
    </row>
    <row r="54" spans="2:21" s="12" customFormat="1">
      <c r="B54" s="85">
        <f>Inv!B64</f>
        <v>0</v>
      </c>
      <c r="C54" s="130">
        <f>IF(Inv!J64=0,0,Inv!J64*'B5'!E5/100)</f>
        <v>0</v>
      </c>
      <c r="D54" s="131">
        <f>IF(Inv!K64=0,0,Inv!K64*'B5'!E5/100)</f>
        <v>0</v>
      </c>
      <c r="E54" s="132">
        <f>IF(SUM('B5'!E11:E57)=0,0,SUM('B5'!E11:E57)*'B5'!E5/100)</f>
        <v>0</v>
      </c>
      <c r="F54" s="133">
        <f t="shared" si="12"/>
        <v>0</v>
      </c>
      <c r="G54" s="251">
        <f>Inv!F64</f>
        <v>0</v>
      </c>
      <c r="H54" s="83">
        <f>Inv!G64</f>
        <v>0</v>
      </c>
      <c r="I54" s="279">
        <f>Inv!H64</f>
        <v>0</v>
      </c>
      <c r="J54" s="84">
        <f>Inv!I64</f>
        <v>0</v>
      </c>
      <c r="K54" s="287">
        <f t="shared" si="13"/>
        <v>0</v>
      </c>
      <c r="L54" s="286">
        <f t="shared" si="14"/>
        <v>0</v>
      </c>
      <c r="O54" s="19"/>
      <c r="P54" s="86">
        <f t="shared" si="2"/>
        <v>0</v>
      </c>
      <c r="Q54" s="19">
        <f t="shared" si="15"/>
        <v>0</v>
      </c>
      <c r="R54" s="19">
        <f t="shared" si="16"/>
        <v>0</v>
      </c>
      <c r="S54" s="19"/>
      <c r="T54" s="19"/>
      <c r="U54" s="19"/>
    </row>
    <row r="55" spans="2:21" s="12" customFormat="1">
      <c r="B55" s="85">
        <f>Inv!B65</f>
        <v>0</v>
      </c>
      <c r="C55" s="130">
        <f>IF(Inv!J65=0,0,Inv!J65*'B5'!G5/100)</f>
        <v>0</v>
      </c>
      <c r="D55" s="131">
        <f>IF(Inv!K65=0,0,Inv!K65*'B5'!G5/100)</f>
        <v>0</v>
      </c>
      <c r="E55" s="132">
        <f>IF(SUM('B5'!G11:G57)=0,0,SUM('B5'!G11:G57)*'B5'!G5/100)</f>
        <v>0</v>
      </c>
      <c r="F55" s="133">
        <f t="shared" si="12"/>
        <v>0</v>
      </c>
      <c r="G55" s="251">
        <f>Inv!F65</f>
        <v>0</v>
      </c>
      <c r="H55" s="83">
        <f>Inv!G65</f>
        <v>0</v>
      </c>
      <c r="I55" s="279">
        <f>Inv!H65</f>
        <v>0</v>
      </c>
      <c r="J55" s="84">
        <f>Inv!I65</f>
        <v>0</v>
      </c>
      <c r="K55" s="287">
        <f t="shared" si="13"/>
        <v>0</v>
      </c>
      <c r="L55" s="286">
        <f t="shared" si="14"/>
        <v>0</v>
      </c>
      <c r="O55" s="19"/>
      <c r="P55" s="86">
        <f t="shared" si="2"/>
        <v>0</v>
      </c>
      <c r="Q55" s="19">
        <f t="shared" si="15"/>
        <v>0</v>
      </c>
      <c r="R55" s="19">
        <f t="shared" si="16"/>
        <v>0</v>
      </c>
      <c r="S55" s="19"/>
      <c r="T55" s="19"/>
      <c r="U55" s="19"/>
    </row>
    <row r="56" spans="2:21" s="12" customFormat="1">
      <c r="B56" s="85">
        <f>Inv!B66</f>
        <v>0</v>
      </c>
      <c r="C56" s="130">
        <f>IF(Inv!J66=0,0,Inv!J66*'B5'!I5/100)</f>
        <v>0</v>
      </c>
      <c r="D56" s="131">
        <f>IF(Inv!K66=0,0,Inv!K66*'B5'!I5/100)</f>
        <v>0</v>
      </c>
      <c r="E56" s="132">
        <f>IF(SUM('B5'!I11:I57)=0,0,SUM('B5'!I11:I57)*'B5'!I5/100)</f>
        <v>0</v>
      </c>
      <c r="F56" s="133">
        <f t="shared" si="12"/>
        <v>0</v>
      </c>
      <c r="G56" s="251">
        <f>Inv!F66</f>
        <v>0</v>
      </c>
      <c r="H56" s="83">
        <f>Inv!G66</f>
        <v>0</v>
      </c>
      <c r="I56" s="279">
        <f>Inv!H66</f>
        <v>0</v>
      </c>
      <c r="J56" s="84">
        <f>Inv!I66</f>
        <v>0</v>
      </c>
      <c r="K56" s="287">
        <f t="shared" si="13"/>
        <v>0</v>
      </c>
      <c r="L56" s="286">
        <f t="shared" si="14"/>
        <v>0</v>
      </c>
      <c r="O56" s="19"/>
      <c r="P56" s="86">
        <f t="shared" si="2"/>
        <v>0</v>
      </c>
      <c r="Q56" s="19">
        <f t="shared" si="15"/>
        <v>0</v>
      </c>
      <c r="R56" s="19">
        <f t="shared" si="16"/>
        <v>0</v>
      </c>
      <c r="S56" s="19"/>
      <c r="T56" s="19"/>
      <c r="U56" s="19"/>
    </row>
    <row r="57" spans="2:21" s="12" customFormat="1" hidden="1">
      <c r="B57" s="85">
        <f>Inv!B67</f>
        <v>0</v>
      </c>
      <c r="C57" s="130">
        <f>IF(Inv!J67=0,0,Inv!J67*'BX5'!C5/100)</f>
        <v>0</v>
      </c>
      <c r="D57" s="131">
        <f>IF(Inv!K67=0,0,Inv!K67*'BX5'!C5/100)</f>
        <v>0</v>
      </c>
      <c r="E57" s="132">
        <f>IF(SUM('BX5'!C11:C57)=0,0,SUM('BX5'!C11:C57)*'BX5'!C5/100)</f>
        <v>0</v>
      </c>
      <c r="F57" s="133">
        <f>E57+C57-D57</f>
        <v>0</v>
      </c>
      <c r="G57" s="251">
        <f>Inv!F67</f>
        <v>0</v>
      </c>
      <c r="H57" s="83">
        <f>Inv!G67</f>
        <v>0</v>
      </c>
      <c r="I57" s="279">
        <f>Inv!H67</f>
        <v>0</v>
      </c>
      <c r="J57" s="84">
        <f>Inv!I67</f>
        <v>0</v>
      </c>
      <c r="K57" s="287">
        <f>F57*I57/6.25/1000</f>
        <v>0</v>
      </c>
      <c r="L57" s="286">
        <f>F57*J57/1000</f>
        <v>0</v>
      </c>
      <c r="O57" s="19"/>
      <c r="P57" s="86">
        <f>I57/6.25</f>
        <v>0</v>
      </c>
      <c r="Q57" s="19">
        <f>+F57*H57</f>
        <v>0</v>
      </c>
      <c r="R57" s="19">
        <f>+F57/0.88</f>
        <v>0</v>
      </c>
      <c r="S57" s="19"/>
      <c r="T57" s="19"/>
      <c r="U57" s="19"/>
    </row>
    <row r="58" spans="2:21" s="12" customFormat="1" hidden="1">
      <c r="B58" s="85">
        <f>Inv!B68</f>
        <v>0</v>
      </c>
      <c r="C58" s="130">
        <f>IF(Inv!J68=0,0,Inv!J68*'BX5'!E5/100)</f>
        <v>0</v>
      </c>
      <c r="D58" s="131">
        <f>IF(Inv!K68=0,0,Inv!K68*'BX5'!E5/100)</f>
        <v>0</v>
      </c>
      <c r="E58" s="132">
        <f>IF(SUM('BX5'!E11:E57)=0,0,SUM('BX5'!E11:E57)*'BX5'!E5/100)</f>
        <v>0</v>
      </c>
      <c r="F58" s="133">
        <f>E58+C58-D58</f>
        <v>0</v>
      </c>
      <c r="G58" s="251">
        <f>Inv!F68</f>
        <v>0</v>
      </c>
      <c r="H58" s="83">
        <f>Inv!G68</f>
        <v>0</v>
      </c>
      <c r="I58" s="279">
        <f>Inv!H68</f>
        <v>0</v>
      </c>
      <c r="J58" s="84">
        <f>Inv!I68</f>
        <v>0</v>
      </c>
      <c r="K58" s="287">
        <f>F58*I58/6.25/1000</f>
        <v>0</v>
      </c>
      <c r="L58" s="286">
        <f>F58*J58/1000</f>
        <v>0</v>
      </c>
      <c r="O58" s="19"/>
      <c r="P58" s="86">
        <f>I58/6.25</f>
        <v>0</v>
      </c>
      <c r="Q58" s="19">
        <f>+F58*H58</f>
        <v>0</v>
      </c>
      <c r="R58" s="19">
        <f>+F58/0.88</f>
        <v>0</v>
      </c>
      <c r="S58" s="19"/>
      <c r="T58" s="19"/>
      <c r="U58" s="19"/>
    </row>
    <row r="59" spans="2:21" s="12" customFormat="1" hidden="1">
      <c r="B59" s="85">
        <f>Inv!B69</f>
        <v>0</v>
      </c>
      <c r="C59" s="130">
        <f>IF(Inv!J69=0,0,Inv!J69*'BX5'!G5/100)</f>
        <v>0</v>
      </c>
      <c r="D59" s="131">
        <f>IF(Inv!K69=0,0,Inv!K69*'BX5'!G5/100)</f>
        <v>0</v>
      </c>
      <c r="E59" s="132">
        <f>IF(SUM('BX5'!G11:G57)=0,0,SUM('BX5'!G11:G57)*'BX5'!G5/100)</f>
        <v>0</v>
      </c>
      <c r="F59" s="133">
        <f>E59+C59-D59</f>
        <v>0</v>
      </c>
      <c r="G59" s="251">
        <f>Inv!F69</f>
        <v>0</v>
      </c>
      <c r="H59" s="83">
        <f>Inv!G69</f>
        <v>0</v>
      </c>
      <c r="I59" s="279">
        <f>Inv!H69</f>
        <v>0</v>
      </c>
      <c r="J59" s="84">
        <f>Inv!I69</f>
        <v>0</v>
      </c>
      <c r="K59" s="287">
        <f>F59*I59/6.25/1000</f>
        <v>0</v>
      </c>
      <c r="L59" s="286">
        <f>F59*J59/1000</f>
        <v>0</v>
      </c>
      <c r="O59" s="19"/>
      <c r="P59" s="86">
        <f>I59/6.25</f>
        <v>0</v>
      </c>
      <c r="Q59" s="19">
        <f>+F59*H59</f>
        <v>0</v>
      </c>
      <c r="R59" s="19">
        <f>+F59/0.88</f>
        <v>0</v>
      </c>
      <c r="S59" s="19"/>
      <c r="T59" s="19"/>
      <c r="U59" s="19"/>
    </row>
    <row r="60" spans="2:21" s="12" customFormat="1" hidden="1">
      <c r="B60" s="85">
        <f>Inv!B70</f>
        <v>0</v>
      </c>
      <c r="C60" s="130">
        <f>IF(Inv!J70=0,0,Inv!J70*'BX5'!I5/100)</f>
        <v>0</v>
      </c>
      <c r="D60" s="131">
        <f>IF(Inv!K70=0,0,Inv!K70*'BX5'!I5/100)</f>
        <v>0</v>
      </c>
      <c r="E60" s="132">
        <f>IF(SUM('BX5'!I11:I57)=0,0,SUM('BX5'!I11:I57)*'BX5'!I5/100)</f>
        <v>0</v>
      </c>
      <c r="F60" s="133">
        <f>E60+C60-D60</f>
        <v>0</v>
      </c>
      <c r="G60" s="251">
        <f>Inv!F70</f>
        <v>0</v>
      </c>
      <c r="H60" s="83">
        <f>Inv!G70</f>
        <v>0</v>
      </c>
      <c r="I60" s="279">
        <f>Inv!H70</f>
        <v>0</v>
      </c>
      <c r="J60" s="84">
        <f>Inv!I70</f>
        <v>0</v>
      </c>
      <c r="K60" s="287">
        <f>F60*I60/6.25/1000</f>
        <v>0</v>
      </c>
      <c r="L60" s="286">
        <f>F60*J60/1000</f>
        <v>0</v>
      </c>
      <c r="O60" s="19"/>
      <c r="P60" s="86">
        <f>I60/6.25</f>
        <v>0</v>
      </c>
      <c r="Q60" s="19">
        <f>+F60*H60</f>
        <v>0</v>
      </c>
      <c r="R60" s="19">
        <f>+F60/0.88</f>
        <v>0</v>
      </c>
      <c r="S60" s="19"/>
      <c r="T60" s="19"/>
      <c r="U60" s="19"/>
    </row>
    <row r="61" spans="2:21" s="12" customFormat="1">
      <c r="B61" s="85" t="str">
        <f>Inv!B71</f>
        <v>Schotte</v>
      </c>
      <c r="C61" s="130">
        <f>IF(Inv!J71=0,0,Inv!J71*'B6'!C5/100)</f>
        <v>0</v>
      </c>
      <c r="D61" s="131">
        <f>IF(Inv!K71=0,0,Inv!K71*'B6'!C5/100)</f>
        <v>0</v>
      </c>
      <c r="E61" s="132">
        <f>IF(SUM('B6'!C11:C57)=0,0,SUM('B6'!C11:C57)*'B6'!C5/100)</f>
        <v>0</v>
      </c>
      <c r="F61" s="133">
        <f t="shared" si="12"/>
        <v>0</v>
      </c>
      <c r="G61" s="262">
        <f>Inv!F71</f>
        <v>6</v>
      </c>
      <c r="H61" s="83">
        <f>Inv!G71</f>
        <v>14.6</v>
      </c>
      <c r="I61" s="279">
        <f>Inv!H71</f>
        <v>129</v>
      </c>
      <c r="J61" s="84">
        <f>Inv!I71</f>
        <v>7.3</v>
      </c>
      <c r="K61" s="287">
        <f t="shared" si="13"/>
        <v>0</v>
      </c>
      <c r="L61" s="286">
        <f t="shared" si="14"/>
        <v>0</v>
      </c>
      <c r="O61" s="19"/>
      <c r="P61" s="86">
        <f t="shared" si="2"/>
        <v>20.64</v>
      </c>
      <c r="Q61" s="19">
        <f t="shared" si="15"/>
        <v>0</v>
      </c>
      <c r="R61" s="19">
        <f t="shared" si="16"/>
        <v>0</v>
      </c>
      <c r="S61" s="19"/>
      <c r="T61" s="19"/>
      <c r="U61" s="19"/>
    </row>
    <row r="62" spans="2:21" s="12" customFormat="1">
      <c r="B62" s="87" t="str">
        <f>Inv!B72</f>
        <v>CCM</v>
      </c>
      <c r="C62" s="134">
        <f>IF(Inv!J72=0,0,Inv!J72*'B6'!E5/100)</f>
        <v>0</v>
      </c>
      <c r="D62" s="135">
        <f>IF(Inv!K72=0,0,Inv!K72*'B6'!E5/100)</f>
        <v>0</v>
      </c>
      <c r="E62" s="136">
        <f>IF(SUM('B6'!E11:E57)=0,0,SUM('B6'!E11:E57)*'B6'!E5/100)</f>
        <v>0</v>
      </c>
      <c r="F62" s="137">
        <f t="shared" si="12"/>
        <v>0</v>
      </c>
      <c r="G62" s="251">
        <f>Inv!F72</f>
        <v>61</v>
      </c>
      <c r="H62" s="72">
        <f>Inv!G72</f>
        <v>15.7</v>
      </c>
      <c r="I62" s="280">
        <f>Inv!H72</f>
        <v>95</v>
      </c>
      <c r="J62" s="73">
        <f>Inv!I72</f>
        <v>3.3</v>
      </c>
      <c r="K62" s="288">
        <f t="shared" si="13"/>
        <v>0</v>
      </c>
      <c r="L62" s="289">
        <f t="shared" si="14"/>
        <v>0</v>
      </c>
      <c r="O62" s="19"/>
      <c r="P62" s="86">
        <f t="shared" si="2"/>
        <v>15.2</v>
      </c>
      <c r="Q62" s="19">
        <f t="shared" si="15"/>
        <v>0</v>
      </c>
      <c r="R62" s="19">
        <f t="shared" si="16"/>
        <v>0</v>
      </c>
      <c r="S62" s="19"/>
      <c r="T62" s="19"/>
      <c r="U62" s="19"/>
    </row>
    <row r="63" spans="2:21" s="12" customFormat="1">
      <c r="B63" s="85" t="str">
        <f>+Inv!B74</f>
        <v>Mais ganze Pflanze</v>
      </c>
      <c r="C63" s="130">
        <f>Inv!J74</f>
        <v>0</v>
      </c>
      <c r="D63" s="131">
        <f>Inv!K74</f>
        <v>0</v>
      </c>
      <c r="E63" s="132">
        <f>IF(SUM('B6'!G11:G57)=0,0,SUM('B6'!G11:G57))</f>
        <v>0</v>
      </c>
      <c r="F63" s="133">
        <f t="shared" si="12"/>
        <v>0</v>
      </c>
      <c r="G63" s="252">
        <f>Inv!F74</f>
        <v>100</v>
      </c>
      <c r="H63" s="83">
        <f>Inv!G74</f>
        <v>10.7</v>
      </c>
      <c r="I63" s="279">
        <f>Inv!H74</f>
        <v>75</v>
      </c>
      <c r="J63" s="84">
        <f>Inv!I74</f>
        <v>1.9</v>
      </c>
      <c r="K63" s="287">
        <f t="shared" si="13"/>
        <v>0</v>
      </c>
      <c r="L63" s="286">
        <f t="shared" si="14"/>
        <v>0</v>
      </c>
      <c r="O63" s="19"/>
      <c r="P63" s="86">
        <f t="shared" si="2"/>
        <v>12</v>
      </c>
      <c r="Q63" s="19">
        <f t="shared" si="15"/>
        <v>0</v>
      </c>
      <c r="R63" s="19">
        <f t="shared" si="16"/>
        <v>0</v>
      </c>
      <c r="S63" s="19"/>
      <c r="T63" s="19"/>
      <c r="U63" s="19"/>
    </row>
    <row r="64" spans="2:21" s="12" customFormat="1" ht="13.5" thickBot="1">
      <c r="B64" s="87" t="str">
        <f>+Textes!A148</f>
        <v>Wiesenfutter</v>
      </c>
      <c r="C64" s="134">
        <f>Inv!J75</f>
        <v>0</v>
      </c>
      <c r="D64" s="135">
        <f>Inv!K75</f>
        <v>0</v>
      </c>
      <c r="E64" s="136">
        <f>IF(SUM('B6'!I11:I57)=0,0,SUM('B6'!I11:I57))</f>
        <v>0</v>
      </c>
      <c r="F64" s="137">
        <f t="shared" si="12"/>
        <v>0</v>
      </c>
      <c r="G64" s="253">
        <f>Inv!F75</f>
        <v>100</v>
      </c>
      <c r="H64" s="72">
        <f>Inv!G75</f>
        <v>7.6</v>
      </c>
      <c r="I64" s="280">
        <f>Inv!H75</f>
        <v>155</v>
      </c>
      <c r="J64" s="73">
        <f>Inv!I75</f>
        <v>3.5</v>
      </c>
      <c r="K64" s="287">
        <f t="shared" si="13"/>
        <v>0</v>
      </c>
      <c r="L64" s="286">
        <f t="shared" si="14"/>
        <v>0</v>
      </c>
      <c r="O64" s="19"/>
      <c r="P64" s="86">
        <f t="shared" si="2"/>
        <v>24.8</v>
      </c>
      <c r="Q64" s="19">
        <f t="shared" si="15"/>
        <v>0</v>
      </c>
      <c r="R64" s="19">
        <f t="shared" si="16"/>
        <v>0</v>
      </c>
      <c r="S64" s="19"/>
      <c r="T64" s="19"/>
      <c r="U64" s="19"/>
    </row>
    <row r="65" spans="2:256" s="12" customFormat="1" ht="13.5" thickBot="1">
      <c r="B65" s="18" t="str">
        <f>+Textes!A149</f>
        <v>Total Nährstoffimport durch Futtermittel</v>
      </c>
      <c r="C65" s="18"/>
      <c r="D65" s="75"/>
      <c r="E65" s="75"/>
      <c r="F65" s="75"/>
      <c r="G65" s="75"/>
      <c r="H65" s="75"/>
      <c r="I65" s="86"/>
      <c r="J65" s="86"/>
      <c r="K65" s="141">
        <f>SUM(K20:K64)</f>
        <v>0</v>
      </c>
      <c r="L65" s="142">
        <f>SUM(L20:L64)</f>
        <v>0</v>
      </c>
      <c r="O65" s="19" t="s">
        <v>455</v>
      </c>
      <c r="P65" s="75">
        <f>SUM(P20:P64)</f>
        <v>72.64</v>
      </c>
      <c r="Q65" s="22">
        <f>SUM(Q20:Q64)</f>
        <v>0</v>
      </c>
      <c r="R65" s="375">
        <f>SUM(R20:R64)</f>
        <v>0</v>
      </c>
      <c r="S65" s="19"/>
      <c r="T65" s="19"/>
      <c r="U65" s="19"/>
    </row>
    <row r="66" spans="2:256" s="12" customFormat="1">
      <c r="B66" s="19"/>
      <c r="C66" s="19"/>
      <c r="D66" s="75"/>
      <c r="E66" s="75"/>
      <c r="F66" s="75"/>
      <c r="G66" s="75"/>
      <c r="H66" s="75"/>
      <c r="I66" s="86"/>
      <c r="J66" s="86"/>
      <c r="K66" s="22"/>
      <c r="L66" s="22"/>
    </row>
    <row r="67" spans="2:256" s="12" customFormat="1" ht="15" customHeight="1">
      <c r="B67" s="20" t="str">
        <f>+Textes!A150</f>
        <v>Teil C: Import/Export Bilanz</v>
      </c>
      <c r="C67" s="20"/>
      <c r="D67" s="75"/>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8"/>
      <c r="FX67" s="88"/>
      <c r="FY67" s="88"/>
      <c r="FZ67" s="88"/>
      <c r="GA67" s="88"/>
      <c r="GB67" s="88"/>
      <c r="GC67" s="88"/>
      <c r="GD67" s="88"/>
      <c r="GE67" s="88"/>
      <c r="GF67" s="88"/>
      <c r="GG67" s="88"/>
      <c r="GH67" s="88"/>
      <c r="GI67" s="88"/>
      <c r="GJ67" s="88"/>
      <c r="GK67" s="88"/>
      <c r="GL67" s="88"/>
      <c r="GM67" s="88"/>
      <c r="GN67" s="88"/>
      <c r="GO67" s="88"/>
      <c r="GP67" s="88"/>
      <c r="GQ67" s="88"/>
      <c r="GR67" s="88"/>
      <c r="GS67" s="88"/>
      <c r="GT67" s="88"/>
      <c r="GU67" s="88"/>
      <c r="GV67" s="88"/>
      <c r="GW67" s="88"/>
      <c r="GX67" s="88"/>
      <c r="GY67" s="88"/>
      <c r="GZ67" s="88"/>
      <c r="HA67" s="88"/>
      <c r="HB67" s="88"/>
      <c r="HC67" s="88"/>
      <c r="HD67" s="88"/>
      <c r="HE67" s="88"/>
      <c r="HF67" s="88"/>
      <c r="HG67" s="88"/>
      <c r="HH67" s="88"/>
      <c r="HI67" s="88"/>
      <c r="HJ67" s="88"/>
      <c r="HK67" s="88"/>
      <c r="HL67" s="88"/>
      <c r="HM67" s="88"/>
      <c r="HN67" s="88"/>
      <c r="HO67" s="88"/>
      <c r="HP67" s="88"/>
      <c r="HQ67" s="88"/>
      <c r="HR67" s="88"/>
      <c r="HS67" s="88"/>
      <c r="HT67" s="88"/>
      <c r="HU67" s="88"/>
      <c r="HV67" s="88"/>
      <c r="HW67" s="88"/>
      <c r="HX67" s="88"/>
      <c r="HY67" s="88"/>
      <c r="HZ67" s="88"/>
      <c r="IA67" s="88"/>
      <c r="IB67" s="88"/>
      <c r="IC67" s="88"/>
      <c r="ID67" s="88"/>
      <c r="IE67" s="88"/>
      <c r="IF67" s="88"/>
      <c r="IG67" s="88"/>
      <c r="IH67" s="88"/>
      <c r="II67" s="88"/>
      <c r="IJ67" s="88"/>
      <c r="IK67" s="88"/>
      <c r="IL67" s="88"/>
      <c r="IM67" s="88"/>
      <c r="IN67" s="88"/>
      <c r="IO67" s="88"/>
      <c r="IP67" s="88"/>
      <c r="IQ67" s="88"/>
      <c r="IR67" s="88"/>
      <c r="IS67" s="88"/>
      <c r="IT67" s="88"/>
      <c r="IU67" s="88"/>
      <c r="IV67" s="88"/>
    </row>
    <row r="68" spans="2:256" s="12" customFormat="1" ht="5.45" customHeight="1">
      <c r="B68" s="18"/>
      <c r="C68" s="18"/>
      <c r="D68" s="75"/>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88"/>
      <c r="GB68" s="88"/>
      <c r="GC68" s="88"/>
      <c r="GD68" s="88"/>
      <c r="GE68" s="88"/>
      <c r="GF68" s="88"/>
      <c r="GG68" s="88"/>
      <c r="GH68" s="88"/>
      <c r="GI68" s="88"/>
      <c r="GJ68" s="88"/>
      <c r="GK68" s="88"/>
      <c r="GL68" s="88"/>
      <c r="GM68" s="88"/>
      <c r="GN68" s="88"/>
      <c r="GO68" s="88"/>
      <c r="GP68" s="88"/>
      <c r="GQ68" s="88"/>
      <c r="GR68" s="88"/>
      <c r="GS68" s="88"/>
      <c r="GT68" s="88"/>
      <c r="GU68" s="88"/>
      <c r="GV68" s="88"/>
      <c r="GW68" s="88"/>
      <c r="GX68" s="88"/>
      <c r="GY68" s="88"/>
      <c r="GZ68" s="88"/>
      <c r="HA68" s="88"/>
      <c r="HB68" s="88"/>
      <c r="HC68" s="88"/>
      <c r="HD68" s="88"/>
      <c r="HE68" s="88"/>
      <c r="HF68" s="88"/>
      <c r="HG68" s="88"/>
      <c r="HH68" s="88"/>
      <c r="HI68" s="88"/>
      <c r="HJ68" s="88"/>
      <c r="HK68" s="88"/>
      <c r="HL68" s="88"/>
      <c r="HM68" s="88"/>
      <c r="HN68" s="88"/>
      <c r="HO68" s="88"/>
      <c r="HP68" s="88"/>
      <c r="HQ68" s="88"/>
      <c r="HR68" s="88"/>
      <c r="HS68" s="88"/>
      <c r="HT68" s="88"/>
      <c r="HU68" s="88"/>
      <c r="HV68" s="88"/>
      <c r="HW68" s="88"/>
      <c r="HX68" s="88"/>
      <c r="HY68" s="88"/>
      <c r="HZ68" s="88"/>
      <c r="IA68" s="88"/>
      <c r="IB68" s="88"/>
      <c r="IC68" s="88"/>
      <c r="ID68" s="88"/>
      <c r="IE68" s="88"/>
      <c r="IF68" s="88"/>
      <c r="IG68" s="88"/>
      <c r="IH68" s="88"/>
      <c r="II68" s="88"/>
      <c r="IJ68" s="88"/>
      <c r="IK68" s="88"/>
      <c r="IL68" s="88"/>
      <c r="IM68" s="88"/>
      <c r="IN68" s="88"/>
      <c r="IO68" s="88"/>
      <c r="IP68" s="88"/>
      <c r="IQ68" s="88"/>
      <c r="IR68" s="88"/>
      <c r="IS68" s="88"/>
      <c r="IT68" s="88"/>
      <c r="IU68" s="88"/>
      <c r="IV68" s="88"/>
    </row>
    <row r="69" spans="2:256" s="12" customFormat="1" ht="15" customHeight="1">
      <c r="B69" s="75"/>
      <c r="C69" s="75"/>
      <c r="E69" s="174" t="str">
        <f>+Textes!A151</f>
        <v>kg Ntot</v>
      </c>
      <c r="F69" s="175" t="str">
        <f>+Textes!A152</f>
        <v>kg P</v>
      </c>
      <c r="G69" s="169" t="str">
        <f>+Textes!A153</f>
        <v>kg Nges</v>
      </c>
      <c r="H69" s="171" t="str">
        <f>+Textes!A154</f>
        <v>kg P2O5</v>
      </c>
      <c r="I69" s="75"/>
    </row>
    <row r="70" spans="2:256" s="12" customFormat="1" ht="15" customHeight="1">
      <c r="B70" s="89" t="str">
        <f>+Textes!A155</f>
        <v>Nährstoffexport Tiere</v>
      </c>
      <c r="C70" s="235"/>
      <c r="D70" s="71"/>
      <c r="E70" s="143">
        <f>IF(K14=0,0,K14*-1)</f>
        <v>0</v>
      </c>
      <c r="F70" s="144">
        <f>IF(L14=0,0,L14*-1)</f>
        <v>0</v>
      </c>
      <c r="G70" s="143">
        <f>E70*U4</f>
        <v>0</v>
      </c>
      <c r="H70" s="144">
        <f>F70*2.291</f>
        <v>0</v>
      </c>
      <c r="I70" s="75"/>
      <c r="J70" s="230" t="s">
        <v>456</v>
      </c>
      <c r="K70" s="12" t="str">
        <f>"= "&amp;U4&amp;" "&amp;Textes!A159</f>
        <v>= 0.6 kg Nges</v>
      </c>
      <c r="L70" s="90"/>
    </row>
    <row r="71" spans="2:256" s="12" customFormat="1" ht="15" customHeight="1">
      <c r="B71" s="91" t="str">
        <f>+Textes!A156</f>
        <v>Nährstoffimport Futtermittel</v>
      </c>
      <c r="C71" s="236"/>
      <c r="D71" s="74"/>
      <c r="E71" s="134">
        <f>+K65</f>
        <v>0</v>
      </c>
      <c r="F71" s="136">
        <f>+L65</f>
        <v>0</v>
      </c>
      <c r="G71" s="134">
        <f>+E71*U4</f>
        <v>0</v>
      </c>
      <c r="H71" s="136">
        <f>+F71*2.291</f>
        <v>0</v>
      </c>
      <c r="I71" s="75"/>
      <c r="J71" s="219" t="s">
        <v>457</v>
      </c>
      <c r="K71" s="90" t="s">
        <v>458</v>
      </c>
    </row>
    <row r="72" spans="2:256" s="12" customFormat="1" ht="15" customHeight="1" thickBot="1">
      <c r="B72" s="89" t="str">
        <f>+Textes!A157</f>
        <v>Für die Periode</v>
      </c>
      <c r="C72" s="234">
        <f>IF(OR(K6=P6,K7=P7,K6=0,K7=0),0,K7-K6+1)</f>
        <v>0</v>
      </c>
      <c r="D72" s="12" t="str">
        <f>+Textes!A189</f>
        <v>Tage</v>
      </c>
      <c r="E72" s="143">
        <f>IF(E70=0,0,E70+E71)</f>
        <v>0</v>
      </c>
      <c r="F72" s="144">
        <f>IF(F70=0,0,F70+F71)</f>
        <v>0</v>
      </c>
      <c r="G72" s="130">
        <f>G70+G71</f>
        <v>0</v>
      </c>
      <c r="H72" s="132">
        <f>H70+H71</f>
        <v>0</v>
      </c>
      <c r="I72" s="75"/>
    </row>
    <row r="73" spans="2:256" s="12" customFormat="1" ht="15" customHeight="1" thickBot="1">
      <c r="B73" s="91" t="str">
        <f>+Textes!A158</f>
        <v>Pro 365 Tage</v>
      </c>
      <c r="C73" s="236"/>
      <c r="D73" s="74"/>
      <c r="E73" s="134">
        <f>IF(C72=0,0,E72/C72*365)</f>
        <v>0</v>
      </c>
      <c r="F73" s="136">
        <f>IF(C72=0,0,F72/C72*365)</f>
        <v>0</v>
      </c>
      <c r="G73" s="141">
        <f>IF(C72=0,0,G72/C72*365)</f>
        <v>0</v>
      </c>
      <c r="H73" s="145">
        <f>IF(C72=0,0,H72/C72*365)</f>
        <v>0</v>
      </c>
      <c r="I73" s="92" t="str">
        <f>+Textes!A160</f>
        <v>=&gt; Vergleich mit Tiefstwerten</v>
      </c>
      <c r="J73" s="93"/>
      <c r="K73" s="93"/>
      <c r="L73" s="94"/>
    </row>
    <row r="74" spans="2:256" s="12" customFormat="1" ht="15" customHeight="1">
      <c r="B74" s="19"/>
      <c r="C74" s="19"/>
      <c r="D74" s="19"/>
      <c r="E74" s="19"/>
      <c r="F74" s="22"/>
      <c r="G74" s="22"/>
      <c r="H74" s="19"/>
      <c r="I74" s="19"/>
      <c r="J74" s="19"/>
      <c r="K74" s="19"/>
      <c r="L74" s="19"/>
    </row>
    <row r="75" spans="2:256" s="12" customFormat="1" ht="13.5" customHeight="1">
      <c r="B75" s="20" t="str">
        <f>+Textes!A161</f>
        <v>Teil D: Kontrolldaten</v>
      </c>
      <c r="C75" s="20"/>
      <c r="D75" s="19"/>
      <c r="E75" s="19"/>
      <c r="F75" s="19"/>
      <c r="G75" s="18" t="str">
        <f>+Textes!A170</f>
        <v>Tierbilanz</v>
      </c>
      <c r="I75" s="212" t="str">
        <f>+Textes!A192</f>
        <v>bis 60 kg LG</v>
      </c>
      <c r="J75" s="213"/>
      <c r="K75" s="212" t="str">
        <f>IF(Textes!G2=1,Textes!A193,"")</f>
        <v/>
      </c>
      <c r="L75" s="213"/>
    </row>
    <row r="76" spans="2:256" s="12" customFormat="1" ht="3.95" customHeight="1">
      <c r="I76" s="95"/>
      <c r="J76" s="96"/>
      <c r="K76" s="95"/>
      <c r="L76" s="96"/>
    </row>
    <row r="77" spans="2:256" s="12" customFormat="1" ht="12.75" customHeight="1">
      <c r="B77" s="12" t="str">
        <f>+Textes!A162</f>
        <v>Futter 88% TS pro 365 Tage</v>
      </c>
      <c r="E77" s="146">
        <f>IF(C72=0,0,R65/C72*365)</f>
        <v>0</v>
      </c>
      <c r="F77" s="12" t="s">
        <v>459</v>
      </c>
      <c r="I77" s="242" t="str">
        <f>+Textes!A171</f>
        <v>Anzahl</v>
      </c>
      <c r="J77" s="243" t="str">
        <f>+Textes!A172</f>
        <v>kg LG</v>
      </c>
      <c r="K77" s="95" t="str">
        <f>IF(Textes!G2=1,I77,"")</f>
        <v/>
      </c>
      <c r="L77" s="96" t="str">
        <f>IF(Textes!G2=1,J77,"")</f>
        <v/>
      </c>
      <c r="N77" s="12" t="s">
        <v>460</v>
      </c>
      <c r="W77" s="12" t="s">
        <v>461</v>
      </c>
      <c r="Z77" s="12" t="s">
        <v>462</v>
      </c>
    </row>
    <row r="78" spans="2:256" s="12" customFormat="1">
      <c r="B78" s="12" t="str">
        <f>+Textes!A163</f>
        <v>Futter 88% TS/kg Zuwachs</v>
      </c>
      <c r="E78" s="334">
        <f>IF(H14=0,0,R65/H14)</f>
        <v>0</v>
      </c>
      <c r="F78" s="12" t="s">
        <v>463</v>
      </c>
      <c r="G78" s="97" t="str">
        <f>+Textes!A173</f>
        <v>Anfangsinventar</v>
      </c>
      <c r="H78" s="71"/>
      <c r="I78" s="143">
        <f>IF(Textes!G2=1,Inv!N23,Inv!F23)</f>
        <v>0</v>
      </c>
      <c r="J78" s="573">
        <f>IF(Inv!N23=0,0,IF(Textes!G2=1,Inv!O23/Inv!N23,Inv!G23))</f>
        <v>0</v>
      </c>
      <c r="K78" s="143">
        <f>IF(Textes!G2=1,Inv!P23,0)</f>
        <v>0</v>
      </c>
      <c r="L78" s="372">
        <f>IF(Inv!P23=0,0,IF(Textes!G2=1,Inv!Q23/Inv!P23,0))</f>
        <v>0</v>
      </c>
      <c r="N78" s="12" t="s">
        <v>464</v>
      </c>
      <c r="Q78" s="361">
        <f>A1a!C61+A1b!C61+A1c!C61+A1d!C61+A1e!C61</f>
        <v>0</v>
      </c>
      <c r="X78" s="361">
        <f>A1a!D61+A1b!D61+A1c!D61+A1d!D61+A1e!D61</f>
        <v>0</v>
      </c>
      <c r="Z78" s="363">
        <f>IF(Q78=0,0,X78/Q78)</f>
        <v>0</v>
      </c>
    </row>
    <row r="79" spans="2:256" s="12" customFormat="1">
      <c r="B79" s="12" t="str">
        <f>+Textes!A165</f>
        <v>MJ in 365 Tagen verfüttert</v>
      </c>
      <c r="E79" s="345">
        <f>IF(ISERROR(Q65/C72*365)=TRUE,0,(Q65/C72*365))</f>
        <v>0</v>
      </c>
      <c r="F79" s="339" t="s">
        <v>465</v>
      </c>
      <c r="G79" s="81" t="str">
        <f>+Textes!A174</f>
        <v>Zukauf</v>
      </c>
      <c r="H79" s="98" t="str">
        <f>Textes!A177</f>
        <v>Periode</v>
      </c>
      <c r="I79" s="130">
        <f>+Q78</f>
        <v>0</v>
      </c>
      <c r="J79" s="574">
        <f>IF(Z78=0,0,Z78)</f>
        <v>0</v>
      </c>
      <c r="K79" s="130">
        <f>IF(Textes!G2=1,Q79,0)</f>
        <v>0</v>
      </c>
      <c r="L79" s="84">
        <f>IF(Z79=0,0,IF(Textes!G2=1,Z79,0))</f>
        <v>0</v>
      </c>
      <c r="N79" s="12" t="s">
        <v>466</v>
      </c>
      <c r="Q79" s="362">
        <f>A1a!F61+A1b!F61+A1c!F61+A1d!F61+A1e!F61</f>
        <v>0</v>
      </c>
      <c r="X79" s="362">
        <f>A1a!G61+A1b!G61+A1c!G61+A1d!G61+A1e!G61</f>
        <v>0</v>
      </c>
      <c r="Z79" s="364">
        <f>IF(Q79=0,0,X79/Q79)</f>
        <v>0</v>
      </c>
    </row>
    <row r="80" spans="2:256" s="12" customFormat="1">
      <c r="B80" s="12" t="str">
        <f>+Textes!A164</f>
        <v>MJ / kg Zuwachs</v>
      </c>
      <c r="E80" s="283">
        <f>IF(H14=0,0,Q65/H14)</f>
        <v>0</v>
      </c>
      <c r="F80" s="12" t="s">
        <v>467</v>
      </c>
      <c r="G80" s="81" t="str">
        <f>+Textes!A175</f>
        <v>Ausgang</v>
      </c>
      <c r="H80" s="98" t="str">
        <f>Textes!A177</f>
        <v>Periode</v>
      </c>
      <c r="I80" s="130">
        <f>+Q82</f>
        <v>0</v>
      </c>
      <c r="J80" s="574">
        <f>IF(X82=0,0,Z82)</f>
        <v>0</v>
      </c>
      <c r="K80" s="130">
        <f>IF(Textes!G2=1,Q83,0)</f>
        <v>0</v>
      </c>
      <c r="L80" s="84">
        <f>IF(Z83=0,0,IF(Textes!G2=1,Z83,0))</f>
        <v>0</v>
      </c>
      <c r="Z80"/>
    </row>
    <row r="81" spans="2:256" s="12" customFormat="1">
      <c r="B81" s="12">
        <f>IF(Textes!G2=1,Textes!A167,0)</f>
        <v>0</v>
      </c>
      <c r="E81" s="283">
        <f>IF(AND(F63=0,F64=0,C72=0),0,IF(Textes!G2=1,((F63+F64)/100/C72*365),0))</f>
        <v>0</v>
      </c>
      <c r="F81" s="12">
        <f>IF(Textes!G2=1,Textes!A187,0)</f>
        <v>0</v>
      </c>
      <c r="G81" s="81" t="str">
        <f>+Textes!A174</f>
        <v>Zukauf</v>
      </c>
      <c r="H81" s="98" t="str">
        <f>Textes!A178</f>
        <v>365 Tage</v>
      </c>
      <c r="I81" s="130">
        <f>IF(C72=0,0,+Q78/C72*365)</f>
        <v>0</v>
      </c>
      <c r="J81" s="574">
        <f>IF(Z78=0,0,Z78)</f>
        <v>0</v>
      </c>
      <c r="K81" s="130">
        <f>IF(AND(Textes!G2=1,C72&lt;&gt;0),Q79/C72*365,0)</f>
        <v>0</v>
      </c>
      <c r="L81" s="84">
        <f>IF(Z79=0,0,IF(Textes!G2=1,Z79,0))</f>
        <v>0</v>
      </c>
      <c r="N81" s="12" t="s">
        <v>468</v>
      </c>
      <c r="Z81"/>
    </row>
    <row r="82" spans="2:256" s="12" customFormat="1">
      <c r="B82" s="12" t="str">
        <f>+Textes!A168</f>
        <v>Zuwachs pro 365 Tage</v>
      </c>
      <c r="E82" s="146">
        <f>IF(C72=0,0,H14/C72*365)</f>
        <v>0</v>
      </c>
      <c r="F82" s="12" t="s">
        <v>459</v>
      </c>
      <c r="G82" s="81" t="str">
        <f>+Textes!A175</f>
        <v>Ausgang</v>
      </c>
      <c r="H82" s="98" t="str">
        <f>Textes!A178</f>
        <v>365 Tage</v>
      </c>
      <c r="I82" s="130">
        <f>IF(C72=0,0,+Q82/C72*365)</f>
        <v>0</v>
      </c>
      <c r="J82" s="574">
        <f>IF(X82=0,0,Z82)</f>
        <v>0</v>
      </c>
      <c r="K82" s="130">
        <f>IF(AND(Textes!G2=1,C72&lt;&gt;0),Q83/C72*365,0)</f>
        <v>0</v>
      </c>
      <c r="L82" s="84">
        <f>IF(Z83=0,0,IF(Textes!G2=1,Z83,0))</f>
        <v>0</v>
      </c>
      <c r="N82" s="12" t="s">
        <v>464</v>
      </c>
      <c r="Q82" s="361">
        <f>A2a!C61+A2b!C61+A2c!C61+A2d!C61+A2e!C61</f>
        <v>0</v>
      </c>
      <c r="X82" s="361">
        <f>A2a!D61+A2b!D61+A2c!D61+A2d!D61+A2e!D61</f>
        <v>0</v>
      </c>
      <c r="Z82" s="363">
        <f>IF(Q82=0,0,X82/Q82)</f>
        <v>0</v>
      </c>
    </row>
    <row r="83" spans="2:256" s="12" customFormat="1">
      <c r="B83" s="12">
        <f>IF(Textes!G2=1,IF(AND(I85&lt;20,L79&lt;100),Textes!A169,0),0)</f>
        <v>0</v>
      </c>
      <c r="E83" s="147">
        <f>IF(E82=0,0,IF(Textes!G2=1,IF(AND(I85&lt;20,L79&lt;100),E82/240,0),0))</f>
        <v>0</v>
      </c>
      <c r="F83" s="12">
        <f>IF(B83&lt;&gt;0,Textes!A190,0)</f>
        <v>0</v>
      </c>
      <c r="G83" s="81" t="str">
        <f>+Textes!A176</f>
        <v>Endinventar</v>
      </c>
      <c r="H83" s="98"/>
      <c r="I83" s="130">
        <f>IF(Textes!G2=1,Inv!R23,Inv!I23)</f>
        <v>0</v>
      </c>
      <c r="J83" s="574">
        <f>IF(Inv!R23=0,0,IF(Textes!G2=1,Inv!S23/Inv!R23,Inv!J23))</f>
        <v>0</v>
      </c>
      <c r="K83" s="130">
        <f>IF(Textes!G2=1,Inv!T23,0)</f>
        <v>0</v>
      </c>
      <c r="L83" s="84">
        <f>IF(Inv!T23=0,0,IF(Textes!G2=1,Inv!U23/Inv!T23,0))</f>
        <v>0</v>
      </c>
      <c r="N83" s="12" t="s">
        <v>466</v>
      </c>
      <c r="Q83" s="362">
        <f>A2a!F61+A2b!F61+A2c!F61+A2d!F61+A2e!F61</f>
        <v>0</v>
      </c>
      <c r="X83" s="362">
        <f>A2a!G61+A2b!G61+A2c!G61+A2d!G61+A2e!G61</f>
        <v>0</v>
      </c>
      <c r="Z83" s="364">
        <f>IF(Q83=0,0,X83/Q83)</f>
        <v>0</v>
      </c>
    </row>
    <row r="84" spans="2:256" s="12" customFormat="1">
      <c r="G84" s="97" t="str">
        <f>+Textes!A181</f>
        <v>Bilanz</v>
      </c>
      <c r="H84" s="71" t="str">
        <f>Textes!A177</f>
        <v>Periode</v>
      </c>
      <c r="I84" s="143">
        <f>IF(I80-I78-I79+I83=0,0.0001,I80-I78-I79+I83)</f>
        <v>1E-4</v>
      </c>
      <c r="J84" s="534"/>
      <c r="K84" s="143">
        <f>IF(Textes!G2=1,IF(K80-K78-K79+K83=0,0.0001,K80-K78-K79+K83),0)</f>
        <v>0</v>
      </c>
      <c r="L84" s="534"/>
    </row>
    <row r="85" spans="2:256" s="12" customFormat="1">
      <c r="G85" s="101" t="str">
        <f>+Textes!A182</f>
        <v>Bilanz aller Tiere</v>
      </c>
      <c r="H85" s="100"/>
      <c r="I85" s="548">
        <f>IF((-I78-I79+I80+I83-K78-K79+K80+K83)=0,0.0001,-I78-I79+I80+I83-K78-K79+K80+K83)</f>
        <v>1E-4</v>
      </c>
      <c r="J85" s="549"/>
      <c r="K85" s="549" t="str">
        <f>Textes!A179</f>
        <v>(Periode)</v>
      </c>
      <c r="L85" s="550"/>
    </row>
    <row r="86" spans="2:256" ht="13.5" customHeight="1">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c r="EO86" s="66"/>
      <c r="EP86" s="66"/>
      <c r="EQ86" s="66"/>
      <c r="ER86" s="66"/>
      <c r="ES86" s="66"/>
      <c r="ET86" s="66"/>
      <c r="EU86" s="66"/>
      <c r="EV86" s="66"/>
      <c r="EW86" s="66"/>
      <c r="EX86" s="66"/>
      <c r="EY86" s="66"/>
      <c r="EZ86" s="66"/>
      <c r="FA86" s="66"/>
      <c r="FB86" s="66"/>
      <c r="FC86" s="66"/>
      <c r="FD86" s="66"/>
      <c r="FE86" s="66"/>
      <c r="FF86" s="66"/>
      <c r="FG86" s="66"/>
      <c r="FH86" s="66"/>
      <c r="FI86" s="66"/>
      <c r="FJ86" s="66"/>
      <c r="FK86" s="66"/>
      <c r="FL86" s="66"/>
      <c r="FM86" s="66"/>
      <c r="FN86" s="66"/>
      <c r="FO86" s="66"/>
      <c r="FP86" s="66"/>
      <c r="FQ86" s="66"/>
      <c r="FR86" s="66"/>
      <c r="FS86" s="66"/>
      <c r="FT86" s="66"/>
      <c r="FU86" s="66"/>
      <c r="FV86" s="66"/>
      <c r="FW86" s="66"/>
      <c r="FX86" s="66"/>
      <c r="FY86" s="66"/>
      <c r="FZ86" s="66"/>
      <c r="GA86" s="66"/>
      <c r="GB86" s="66"/>
      <c r="GC86" s="66"/>
      <c r="GD86" s="66"/>
      <c r="GE86" s="66"/>
      <c r="GF86" s="66"/>
      <c r="GG86" s="66"/>
      <c r="GH86" s="66"/>
      <c r="GI86" s="66"/>
      <c r="GJ86" s="66"/>
      <c r="GK86" s="66"/>
      <c r="GL86" s="66"/>
      <c r="GM86" s="66"/>
      <c r="GN86" s="66"/>
      <c r="GO86" s="66"/>
      <c r="GP86" s="66"/>
      <c r="GQ86" s="66"/>
      <c r="GR86" s="66"/>
      <c r="GS86" s="66"/>
      <c r="GT86" s="66"/>
      <c r="GU86" s="66"/>
      <c r="GV86" s="66"/>
      <c r="GW86" s="66"/>
      <c r="GX86" s="66"/>
      <c r="GY86" s="66"/>
      <c r="GZ86" s="66"/>
      <c r="HA86" s="66"/>
      <c r="HB86" s="66"/>
      <c r="HC86" s="66"/>
      <c r="HD86" s="66"/>
      <c r="HE86" s="66"/>
      <c r="HF86" s="66"/>
      <c r="HG86" s="66"/>
      <c r="HH86" s="66"/>
      <c r="HI86" s="66"/>
      <c r="HJ86" s="66"/>
      <c r="HK86" s="66"/>
      <c r="HL86" s="66"/>
      <c r="HM86" s="66"/>
      <c r="HN86" s="66"/>
      <c r="HO86" s="66"/>
      <c r="HP86" s="66"/>
      <c r="HQ86" s="66"/>
      <c r="HR86" s="66"/>
      <c r="HS86" s="66"/>
      <c r="HT86" s="66"/>
      <c r="HU86" s="66"/>
      <c r="HV86" s="66"/>
      <c r="HW86" s="66"/>
      <c r="HX86" s="66"/>
      <c r="HY86" s="66"/>
      <c r="HZ86" s="66"/>
      <c r="IA86" s="66"/>
      <c r="IB86" s="66"/>
      <c r="IC86" s="66"/>
      <c r="ID86" s="66"/>
      <c r="IE86" s="66"/>
      <c r="IF86" s="66"/>
      <c r="IG86" s="66"/>
      <c r="IH86" s="66"/>
      <c r="II86" s="66"/>
      <c r="IJ86" s="66"/>
      <c r="IK86" s="66"/>
      <c r="IL86" s="66"/>
      <c r="IM86" s="66"/>
      <c r="IN86" s="66"/>
      <c r="IO86" s="66"/>
      <c r="IP86" s="66"/>
      <c r="IQ86" s="66"/>
      <c r="IR86" s="66"/>
      <c r="IS86" s="66"/>
      <c r="IT86" s="66"/>
      <c r="IU86" s="66"/>
      <c r="IV86" s="66"/>
    </row>
    <row r="87" spans="2:256" ht="20.25" customHeight="1">
      <c r="B87" s="12" t="str">
        <f>+Textes!A183</f>
        <v>Der Betriebsleiter ist damit einverstanden, dass das Resultat dieser Berechnung zur Beurteilung der Suisse-Bilanz</v>
      </c>
      <c r="C87" s="12"/>
      <c r="E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row>
    <row r="88" spans="2:256" ht="20.25" customHeight="1">
      <c r="B88" s="260" t="str">
        <f>+Textes!A184</f>
        <v>berücksichtigt wird.</v>
      </c>
      <c r="C88" s="12"/>
      <c r="E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c r="IU88" s="13"/>
      <c r="IV88" s="13"/>
    </row>
    <row r="89" spans="2:256" ht="4.5" customHeight="1">
      <c r="B89" s="14"/>
      <c r="C89" s="14"/>
      <c r="D89" s="14"/>
      <c r="E89" s="15"/>
      <c r="F89" s="16"/>
      <c r="G89" s="14"/>
      <c r="H89" s="17"/>
      <c r="I89" s="14"/>
      <c r="J89" s="14"/>
      <c r="K89" s="16"/>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4"/>
      <c r="IV89" s="14"/>
    </row>
    <row r="90" spans="2:256" ht="19.5" customHeight="1">
      <c r="B90" s="80" t="str">
        <f>+Textes!A186</f>
        <v>Kantonale Kontrollstelle, Datum:</v>
      </c>
      <c r="C90" s="237"/>
      <c r="D90" s="237"/>
      <c r="E90" s="237"/>
      <c r="F90" s="238"/>
      <c r="G90" s="237"/>
      <c r="H90" s="237" t="str">
        <f>+Textes!A191</f>
        <v>Unterschrift:</v>
      </c>
      <c r="I90" s="237"/>
      <c r="J90" s="239"/>
      <c r="K90" s="240"/>
      <c r="L90" s="241"/>
    </row>
    <row r="91" spans="2:256" ht="4.5" customHeight="1">
      <c r="B91" s="14"/>
      <c r="C91" s="14"/>
      <c r="D91" s="14"/>
      <c r="E91" s="15"/>
      <c r="F91" s="16"/>
      <c r="G91" s="14"/>
      <c r="H91" s="17"/>
      <c r="I91" s="14"/>
      <c r="J91" s="14"/>
      <c r="K91" s="16"/>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c r="IT91" s="14"/>
      <c r="IU91" s="14"/>
      <c r="IV91" s="14"/>
    </row>
    <row r="92" spans="2:256" ht="19.5" customHeight="1">
      <c r="B92" s="80" t="str">
        <f>+Textes!A185</f>
        <v>Betriebsleiter, Datum:</v>
      </c>
      <c r="C92" s="237"/>
      <c r="D92" s="237"/>
      <c r="E92" s="237"/>
      <c r="F92" s="237"/>
      <c r="G92" s="237"/>
      <c r="H92" s="237" t="str">
        <f>+H90</f>
        <v>Unterschrift:</v>
      </c>
      <c r="I92" s="237"/>
      <c r="J92" s="254"/>
      <c r="K92" s="254"/>
      <c r="L92" s="255"/>
    </row>
    <row r="93" spans="2:256" ht="6" customHeight="1"/>
  </sheetData>
  <sheetProtection password="8C69" sheet="1" objects="1" scenarios="1"/>
  <phoneticPr fontId="28" type="noConversion"/>
  <pageMargins left="0.59055118110236227" right="0.39370078740157483" top="0.39370078740157483" bottom="0.31496062992125984" header="0.11811023622047245" footer="0.11811023622047245"/>
  <pageSetup paperSize="9" scale="91" orientation="portrait" r:id="rId1"/>
  <headerFooter alignWithMargins="0">
    <oddFooter>&amp;C&amp;9&amp;F&amp;L&amp;"Arial,Fett"&amp;11AGRIDEA &amp;"Arial,Standard"&amp;9Impex, Version 2.6&amp;R&amp;"Arial,Standard"&amp;9&amp;D / Seite &amp;P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B1:K36"/>
  <sheetViews>
    <sheetView showGridLines="0" showRowColHeaders="0" showZeros="0" workbookViewId="0">
      <selection activeCell="E6" sqref="E6"/>
    </sheetView>
  </sheetViews>
  <sheetFormatPr baseColWidth="10" defaultRowHeight="12.75"/>
  <cols>
    <col min="1" max="1" width="0.85546875" customWidth="1"/>
    <col min="2" max="2" width="40.85546875" customWidth="1"/>
    <col min="3" max="3" width="11" customWidth="1"/>
    <col min="4" max="4" width="54.85546875" customWidth="1"/>
    <col min="5" max="8" width="7.28515625" customWidth="1"/>
    <col min="9" max="11" width="8.42578125" customWidth="1"/>
    <col min="12" max="12" width="1.42578125" customWidth="1"/>
  </cols>
  <sheetData>
    <row r="1" spans="2:11" ht="60" customHeight="1">
      <c r="D1" s="188" t="s">
        <v>400</v>
      </c>
      <c r="H1" s="246"/>
      <c r="I1" s="246"/>
      <c r="K1" s="247" t="str">
        <f>+Textes!A194</f>
        <v>Berechnung der Tiefstwerte</v>
      </c>
    </row>
    <row r="2" spans="2:11">
      <c r="B2" s="679" t="str">
        <f>Inv!C4&amp;IF(Inv!D4=0,"",Inv!D4)</f>
        <v xml:space="preserve">Betriebs-Nr:    </v>
      </c>
      <c r="C2" s="191"/>
      <c r="D2" s="683" t="str">
        <f>Inv!C5 &amp; IF(Inv!D5=0,"",Inv!D6 &amp; " " &amp; Inv!D5)</f>
        <v xml:space="preserve">Name:    </v>
      </c>
      <c r="E2" s="683"/>
      <c r="F2" s="683"/>
    </row>
    <row r="4" spans="2:11" ht="27" customHeight="1">
      <c r="I4" s="335" t="str">
        <f>+Textes!A250</f>
        <v>Total</v>
      </c>
      <c r="J4" s="336"/>
      <c r="K4" s="337"/>
    </row>
    <row r="5" spans="2:11" ht="15" customHeight="1">
      <c r="B5" s="576" t="str">
        <f>+Textes!A195</f>
        <v>Tierkategorie</v>
      </c>
      <c r="C5" s="577" t="str">
        <f>+Textes!A213</f>
        <v>Einheit</v>
      </c>
      <c r="D5" s="578" t="str">
        <f>+Textes!A216</f>
        <v>Definition der Einheit</v>
      </c>
      <c r="E5" s="577" t="str">
        <f>+Textes!A241</f>
        <v>Anzahl</v>
      </c>
      <c r="F5" s="577" t="str">
        <f>+Textes!A242</f>
        <v>Ntot</v>
      </c>
      <c r="G5" s="577" t="str">
        <f>+Textes!A243</f>
        <v>Nges</v>
      </c>
      <c r="H5" s="577" t="str">
        <f>+Textes!A244</f>
        <v>P2O5</v>
      </c>
      <c r="I5" s="577" t="s">
        <v>448</v>
      </c>
      <c r="J5" s="579" t="str">
        <f>+G5</f>
        <v>Nges</v>
      </c>
      <c r="K5" s="579" t="str">
        <f>+H5</f>
        <v>P2O5</v>
      </c>
    </row>
    <row r="6" spans="2:11" ht="15" customHeight="1">
      <c r="B6" s="149" t="str">
        <f>+Textes!A196</f>
        <v>Mastschweine/Remonten</v>
      </c>
      <c r="C6" s="293" t="str">
        <f>+Textes!A214</f>
        <v>Platz</v>
      </c>
      <c r="D6" s="347" t="str">
        <f>+Textes!A217</f>
        <v>240 kg Zuwachs/Jahr</v>
      </c>
      <c r="E6" s="413"/>
      <c r="F6" s="148">
        <v>8.5</v>
      </c>
      <c r="G6" s="148">
        <v>6.8</v>
      </c>
      <c r="H6" s="148">
        <v>2.7</v>
      </c>
      <c r="I6" s="409">
        <f>+E6*F6</f>
        <v>0</v>
      </c>
      <c r="J6" s="152">
        <f>+E6*G6</f>
        <v>0</v>
      </c>
      <c r="K6" s="152">
        <f>+E6*H6</f>
        <v>0</v>
      </c>
    </row>
    <row r="7" spans="2:11" ht="15" customHeight="1">
      <c r="B7" s="149" t="str">
        <f>+Textes!A197</f>
        <v>Mastschweine/Remonten</v>
      </c>
      <c r="C7" s="293" t="str">
        <f>+Textes!A215</f>
        <v>Stück</v>
      </c>
      <c r="D7" s="347" t="str">
        <f>+Textes!A218</f>
        <v>80 kg Zuwachs</v>
      </c>
      <c r="E7" s="413"/>
      <c r="F7" s="151">
        <v>2.83</v>
      </c>
      <c r="G7" s="151">
        <v>2.27</v>
      </c>
      <c r="H7" s="151">
        <v>0.9</v>
      </c>
      <c r="I7" s="409">
        <f t="shared" ref="I7:I17" si="0">+E7*F7</f>
        <v>0</v>
      </c>
      <c r="J7" s="152">
        <f t="shared" ref="J7:J17" si="1">+E7*G7</f>
        <v>0</v>
      </c>
      <c r="K7" s="152">
        <f t="shared" ref="K7:K17" si="2">+E7*H7</f>
        <v>0</v>
      </c>
    </row>
    <row r="8" spans="2:11" ht="15" customHeight="1">
      <c r="B8" s="149" t="str">
        <f>+Textes!A198</f>
        <v>Zuchtschweine inkl. Ferkel bis 25 kg LG</v>
      </c>
      <c r="C8" s="293" t="str">
        <f>+Textes!A214</f>
        <v>Platz</v>
      </c>
      <c r="D8" s="347" t="str">
        <f>+Textes!A219</f>
        <v>Mittelwert Anfangs- und Endbestand</v>
      </c>
      <c r="E8" s="414"/>
      <c r="F8" s="150">
        <v>30</v>
      </c>
      <c r="G8" s="150">
        <v>24</v>
      </c>
      <c r="H8" s="150">
        <v>12</v>
      </c>
      <c r="I8" s="410">
        <f t="shared" si="0"/>
        <v>0</v>
      </c>
      <c r="J8" s="152">
        <f t="shared" si="1"/>
        <v>0</v>
      </c>
      <c r="K8" s="152">
        <f t="shared" si="2"/>
        <v>0</v>
      </c>
    </row>
    <row r="9" spans="2:11" ht="15" customHeight="1">
      <c r="B9" s="149" t="str">
        <f>+Textes!A199</f>
        <v>Eber</v>
      </c>
      <c r="C9" s="293" t="str">
        <f>+Textes!A214</f>
        <v>Platz</v>
      </c>
      <c r="D9" s="347" t="str">
        <f>+Textes!A220</f>
        <v>Mittelwert Anfangs- und Endbestand</v>
      </c>
      <c r="E9" s="414"/>
      <c r="F9" s="150">
        <v>15.6</v>
      </c>
      <c r="G9" s="150">
        <v>12.5</v>
      </c>
      <c r="H9" s="150">
        <v>6.1</v>
      </c>
      <c r="I9" s="410">
        <f t="shared" si="0"/>
        <v>0</v>
      </c>
      <c r="J9" s="152">
        <f t="shared" si="1"/>
        <v>0</v>
      </c>
      <c r="K9" s="152">
        <f t="shared" si="2"/>
        <v>0</v>
      </c>
    </row>
    <row r="10" spans="2:11" ht="15" customHeight="1">
      <c r="B10" s="149" t="str">
        <f>+Textes!A200</f>
        <v>Galtsauen</v>
      </c>
      <c r="C10" s="293" t="str">
        <f>+Textes!A214</f>
        <v>Platz</v>
      </c>
      <c r="D10" s="347" t="str">
        <f>+Textes!A221</f>
        <v>Mittelwert (Zukauf 365d + Ausgang 365d) geteilt durch 3.1 Umtr.</v>
      </c>
      <c r="E10" s="414"/>
      <c r="F10" s="150">
        <v>17.399999999999999</v>
      </c>
      <c r="G10" s="150">
        <v>13.9</v>
      </c>
      <c r="H10" s="150">
        <v>6.3</v>
      </c>
      <c r="I10" s="410">
        <f t="shared" si="0"/>
        <v>0</v>
      </c>
      <c r="J10" s="152">
        <f t="shared" si="1"/>
        <v>0</v>
      </c>
      <c r="K10" s="152">
        <f t="shared" si="2"/>
        <v>0</v>
      </c>
    </row>
    <row r="11" spans="2:11" ht="15" customHeight="1">
      <c r="B11" s="149" t="str">
        <f>+Textes!A201</f>
        <v>Galtsauen</v>
      </c>
      <c r="C11" s="293" t="str">
        <f>+Textes!A215</f>
        <v>Stück</v>
      </c>
      <c r="D11" s="347" t="str">
        <f>+Textes!A222</f>
        <v>Mittelwert (Zukauf 365d + Ausgang 365d)</v>
      </c>
      <c r="E11" s="414"/>
      <c r="F11" s="292">
        <v>5.61</v>
      </c>
      <c r="G11" s="292">
        <v>4.4800000000000004</v>
      </c>
      <c r="H11" s="292">
        <v>2.0299999999999998</v>
      </c>
      <c r="I11" s="410">
        <f t="shared" si="0"/>
        <v>0</v>
      </c>
      <c r="J11" s="152">
        <f t="shared" si="1"/>
        <v>0</v>
      </c>
      <c r="K11" s="152">
        <f t="shared" si="2"/>
        <v>0</v>
      </c>
    </row>
    <row r="12" spans="2:11" ht="15" customHeight="1">
      <c r="B12" s="149" t="str">
        <f>+Textes!A202</f>
        <v>Säugende Zuchtsauen</v>
      </c>
      <c r="C12" s="293" t="str">
        <f>+Textes!A214</f>
        <v>Platz</v>
      </c>
      <c r="D12" s="346" t="str">
        <f>+Textes!A223</f>
        <v>Mittelwert (Zukauf 365d + Ausgang 365d) geteilt durch 8.2 Umtr.</v>
      </c>
      <c r="E12" s="414"/>
      <c r="F12" s="150">
        <v>36.5</v>
      </c>
      <c r="G12" s="150">
        <v>29.2</v>
      </c>
      <c r="H12" s="150">
        <v>15.4</v>
      </c>
      <c r="I12" s="410">
        <f t="shared" si="0"/>
        <v>0</v>
      </c>
      <c r="J12" s="152">
        <f t="shared" si="1"/>
        <v>0</v>
      </c>
      <c r="K12" s="152">
        <f t="shared" si="2"/>
        <v>0</v>
      </c>
    </row>
    <row r="13" spans="2:11" ht="15" customHeight="1">
      <c r="B13" s="149" t="str">
        <f>+Textes!A203</f>
        <v>Säugende Zuchtsauen</v>
      </c>
      <c r="C13" s="293" t="str">
        <f>+Textes!A215</f>
        <v>Stück</v>
      </c>
      <c r="D13" s="346" t="str">
        <f>+Textes!A224</f>
        <v>Mittelwert (Zukauf 365d + Ausgang 365d)</v>
      </c>
      <c r="E13" s="414"/>
      <c r="F13" s="292">
        <v>4.45</v>
      </c>
      <c r="G13" s="292">
        <v>3.56</v>
      </c>
      <c r="H13" s="292">
        <v>1.88</v>
      </c>
      <c r="I13" s="410">
        <f t="shared" si="0"/>
        <v>0</v>
      </c>
      <c r="J13" s="152">
        <f t="shared" si="1"/>
        <v>0</v>
      </c>
      <c r="K13" s="152">
        <f t="shared" si="2"/>
        <v>0</v>
      </c>
    </row>
    <row r="14" spans="2:11" ht="15" customHeight="1">
      <c r="B14" s="149" t="str">
        <f>+Textes!A204</f>
        <v>Abgesetzte Ferkel, von ca. 9 bis 25 kg LG</v>
      </c>
      <c r="C14" s="293" t="str">
        <f>+Textes!A214</f>
        <v>Platz</v>
      </c>
      <c r="D14" s="347" t="str">
        <f>+Textes!A225</f>
        <v>176 kg Zuwachs/Jahr</v>
      </c>
      <c r="E14" s="414"/>
      <c r="F14" s="148">
        <v>3.8</v>
      </c>
      <c r="G14" s="148">
        <v>3.1</v>
      </c>
      <c r="H14" s="148">
        <v>1.7</v>
      </c>
      <c r="I14" s="409">
        <f t="shared" si="0"/>
        <v>0</v>
      </c>
      <c r="J14" s="152">
        <f t="shared" si="1"/>
        <v>0</v>
      </c>
      <c r="K14" s="152">
        <f t="shared" si="2"/>
        <v>0</v>
      </c>
    </row>
    <row r="15" spans="2:11" ht="15" customHeight="1">
      <c r="B15" s="149" t="str">
        <f>+Textes!A205</f>
        <v>Abgesetzte Ferkel, von ca. 9 bis 25 kg LG</v>
      </c>
      <c r="C15" s="293" t="str">
        <f>+Textes!A215</f>
        <v>Stück</v>
      </c>
      <c r="D15" s="347" t="str">
        <f>+Textes!A226</f>
        <v>16 kg Zuwachs/Stück</v>
      </c>
      <c r="E15" s="414"/>
      <c r="F15" s="151">
        <f>F14/11</f>
        <v>0.34545454545454546</v>
      </c>
      <c r="G15" s="151">
        <v>0.28000000000000003</v>
      </c>
      <c r="H15" s="151">
        <v>0.15</v>
      </c>
      <c r="I15" s="409">
        <f t="shared" si="0"/>
        <v>0</v>
      </c>
      <c r="J15" s="152">
        <f t="shared" si="1"/>
        <v>0</v>
      </c>
      <c r="K15" s="152">
        <f t="shared" si="2"/>
        <v>0</v>
      </c>
    </row>
    <row r="16" spans="2:11" ht="15" customHeight="1">
      <c r="B16" s="149" t="str">
        <f>+Textes!A206</f>
        <v>Junghennen</v>
      </c>
      <c r="C16" s="293" t="str">
        <f>+Textes!A209</f>
        <v>100 Plätze</v>
      </c>
      <c r="D16" s="347" t="str">
        <f>+Textes!A227</f>
        <v>Im Durchschnitt gehaltene Junghennen</v>
      </c>
      <c r="E16" s="415"/>
      <c r="F16" s="150">
        <v>23.25</v>
      </c>
      <c r="G16" s="150">
        <v>13.95</v>
      </c>
      <c r="H16" s="150">
        <v>12.75</v>
      </c>
      <c r="I16" s="410">
        <f t="shared" si="0"/>
        <v>0</v>
      </c>
      <c r="J16" s="152">
        <f t="shared" si="1"/>
        <v>0</v>
      </c>
      <c r="K16" s="152">
        <f t="shared" si="2"/>
        <v>0</v>
      </c>
    </row>
    <row r="17" spans="2:11" ht="15" customHeight="1">
      <c r="B17" s="149" t="str">
        <f>+Textes!A206</f>
        <v>Junghennen</v>
      </c>
      <c r="C17" s="293" t="str">
        <f>+Textes!A210</f>
        <v>100 Stück</v>
      </c>
      <c r="D17" s="348"/>
      <c r="E17" s="416"/>
      <c r="F17" s="608">
        <v>10.33</v>
      </c>
      <c r="G17" s="608">
        <v>6.2</v>
      </c>
      <c r="H17" s="608">
        <v>5.67</v>
      </c>
      <c r="I17" s="297">
        <f t="shared" si="0"/>
        <v>0</v>
      </c>
      <c r="J17" s="297">
        <f t="shared" si="1"/>
        <v>0</v>
      </c>
      <c r="K17" s="297">
        <f t="shared" si="2"/>
        <v>0</v>
      </c>
    </row>
    <row r="18" spans="2:11" ht="15" customHeight="1">
      <c r="B18" s="295" t="str">
        <f>+Textes!A207</f>
        <v>Mastpoulets</v>
      </c>
      <c r="C18" s="296" t="str">
        <f>+Textes!A209</f>
        <v>100 Plätze</v>
      </c>
      <c r="D18" s="348" t="str">
        <f>+Textes!A228</f>
        <v>Im Durchschnitt gehaltene Poulets</v>
      </c>
      <c r="E18" s="690">
        <f>Poulet_tot!$F$23/100</f>
        <v>0</v>
      </c>
      <c r="F18" s="377">
        <v>31.5</v>
      </c>
      <c r="G18" s="377">
        <v>18.899999999999999</v>
      </c>
      <c r="H18" s="377">
        <v>10.4</v>
      </c>
      <c r="I18" s="297">
        <f>+E18*F18</f>
        <v>0</v>
      </c>
      <c r="J18" s="297">
        <f>+E18*G18</f>
        <v>0</v>
      </c>
      <c r="K18" s="297">
        <f>+E18*H18</f>
        <v>0</v>
      </c>
    </row>
    <row r="19" spans="2:11" ht="15" customHeight="1">
      <c r="B19" s="295" t="str">
        <f>Textes!A208</f>
        <v>Masttruten</v>
      </c>
      <c r="C19" s="296" t="str">
        <f>+Textes!A209</f>
        <v>100 Plätze</v>
      </c>
      <c r="D19" s="348" t="str">
        <f>Textes!A229</f>
        <v>Im Durchschnitt gehaltene Masttruten</v>
      </c>
      <c r="E19" s="416"/>
      <c r="F19" s="377">
        <v>119</v>
      </c>
      <c r="G19" s="377">
        <v>71.400000000000006</v>
      </c>
      <c r="H19" s="377">
        <v>59.5</v>
      </c>
      <c r="I19" s="297">
        <f>+E19*F19</f>
        <v>0</v>
      </c>
      <c r="J19" s="297">
        <f>+E19*G19</f>
        <v>0</v>
      </c>
      <c r="K19" s="297">
        <f>+E19*H19</f>
        <v>0</v>
      </c>
    </row>
    <row r="20" spans="2:11" ht="15" customHeight="1">
      <c r="B20" s="295" t="str">
        <f>Textes!A208</f>
        <v>Masttruten</v>
      </c>
      <c r="C20" s="296" t="str">
        <f>+Textes!A210</f>
        <v>100 Stück</v>
      </c>
      <c r="D20" s="348"/>
      <c r="E20" s="416"/>
      <c r="F20" s="378">
        <v>42.5</v>
      </c>
      <c r="G20" s="378">
        <v>25.5</v>
      </c>
      <c r="H20" s="378">
        <v>21.25</v>
      </c>
      <c r="I20" s="297">
        <f>+E20*F20</f>
        <v>0</v>
      </c>
      <c r="J20" s="297">
        <f>+E20*G20</f>
        <v>0</v>
      </c>
      <c r="K20" s="297">
        <f>+E20*H20</f>
        <v>0</v>
      </c>
    </row>
    <row r="21" spans="2:11" ht="15" customHeight="1">
      <c r="B21" s="295" t="str">
        <f>+Textes!A211</f>
        <v>Produz. Zibben (inkl. Jungtiere bis ca 35 Tage)</v>
      </c>
      <c r="C21" s="296" t="str">
        <f>+Textes!A215</f>
        <v>Stück</v>
      </c>
      <c r="D21" s="418" t="str">
        <f>+Textes!A230</f>
        <v>Im Durchschnitt gehaltene Zibben</v>
      </c>
      <c r="E21" s="417"/>
      <c r="F21" s="378">
        <v>1.82</v>
      </c>
      <c r="G21" s="378">
        <v>1.55</v>
      </c>
      <c r="H21" s="378">
        <v>1.05</v>
      </c>
      <c r="I21" s="297">
        <f>+E21*F21</f>
        <v>0</v>
      </c>
      <c r="J21" s="297">
        <f>+E21*G21</f>
        <v>0</v>
      </c>
      <c r="K21" s="297">
        <f>+E21*H21</f>
        <v>0</v>
      </c>
    </row>
    <row r="22" spans="2:11" ht="15" customHeight="1" thickBot="1">
      <c r="B22" s="295" t="str">
        <f>+Textes!A212</f>
        <v>Kaninchen - Jungtiere (ab ca 35 Tage)</v>
      </c>
      <c r="C22" s="296" t="str">
        <f>+Textes!A209</f>
        <v>100 Plätze</v>
      </c>
      <c r="D22" s="418" t="str">
        <f>+Textes!A231</f>
        <v>Im Durchschnitt gehaltene Mastkaninchen</v>
      </c>
      <c r="E22" s="417"/>
      <c r="F22" s="377">
        <v>55.3</v>
      </c>
      <c r="G22" s="377">
        <v>47.01</v>
      </c>
      <c r="H22" s="377">
        <v>33.67</v>
      </c>
      <c r="I22" s="297">
        <f>+E22*F22</f>
        <v>0</v>
      </c>
      <c r="J22" s="297">
        <f>+E22*G22</f>
        <v>0</v>
      </c>
      <c r="K22" s="297">
        <f>+E22*H22</f>
        <v>0</v>
      </c>
    </row>
    <row r="23" spans="2:11" ht="15" customHeight="1">
      <c r="B23" s="298" t="str">
        <f>+Textes!A247</f>
        <v>Tiefstwert für den Betrieb</v>
      </c>
      <c r="C23" s="299"/>
      <c r="D23" s="299"/>
      <c r="E23" s="300"/>
      <c r="F23" s="300"/>
      <c r="G23" s="300"/>
      <c r="H23" s="301"/>
      <c r="I23" s="411">
        <f>SUM(I6:I22)</f>
        <v>0</v>
      </c>
      <c r="J23" s="302">
        <f>SUM(J6:J22)</f>
        <v>0</v>
      </c>
      <c r="K23" s="303">
        <f>SUM(K6:K22)</f>
        <v>0</v>
      </c>
    </row>
    <row r="24" spans="2:11" ht="15" customHeight="1">
      <c r="B24" s="304" t="str">
        <f>+Textes!A248</f>
        <v>Berechneter Wert aus Import/Export Bilanz</v>
      </c>
      <c r="C24" s="245"/>
      <c r="D24" s="245"/>
      <c r="E24" s="153"/>
      <c r="F24" s="153"/>
      <c r="G24" s="153"/>
      <c r="H24" s="154"/>
      <c r="I24" s="412">
        <f>+Impex!E73</f>
        <v>0</v>
      </c>
      <c r="J24" s="294">
        <f>+Impex!G73</f>
        <v>0</v>
      </c>
      <c r="K24" s="305">
        <f>+Impex!H73</f>
        <v>0</v>
      </c>
    </row>
    <row r="25" spans="2:11" ht="15" customHeight="1" thickBot="1">
      <c r="B25" s="306" t="str">
        <f>+Textes!A249</f>
        <v>Uebertrag in die Suisse-Bilanz</v>
      </c>
      <c r="C25" s="307"/>
      <c r="D25" s="312"/>
      <c r="E25" s="308"/>
      <c r="F25" s="308"/>
      <c r="G25" s="308"/>
      <c r="H25" s="309"/>
      <c r="I25" s="340">
        <f>IF(SUM(E6:E22)=0,0,IF(I24&lt;I23,I23,I24))</f>
        <v>0</v>
      </c>
      <c r="J25" s="310">
        <f>IF(SUM(F6:F22)=0,0,IF(J24&lt;J23,J23,J24))</f>
        <v>0</v>
      </c>
      <c r="K25" s="311">
        <f>IF(SUM(G6:G22)=0,0,IF(K24&lt;K23,K23,K24))</f>
        <v>0</v>
      </c>
    </row>
    <row r="27" spans="2:11">
      <c r="B27" s="343" t="str">
        <f>Textes!A232</f>
        <v>Bemerkungen zur Berechnung der Durchschnittsbestände bei Schweinen</v>
      </c>
    </row>
    <row r="28" spans="2:11">
      <c r="B28" s="590" t="str">
        <f>Textes!A233</f>
        <v>- Kombinierte Betriebe berücksichtigen bei den Mastschweinen neben einem Zuwachs von 240 kg das Inventar und die eigene Remontierung</v>
      </c>
    </row>
    <row r="29" spans="2:11">
      <c r="B29" s="590" t="str">
        <f>Textes!A234</f>
        <v xml:space="preserve">  sowie allfällige übergewichtige Ferkel (=&gt; sämtlicher Zuwachs zwischen 25 und 105 kg LG)</v>
      </c>
    </row>
    <row r="30" spans="2:11">
      <c r="B30" s="590" t="str">
        <f>Textes!A235</f>
        <v>- Zuchtschweineplätze und Eberplätze: Allfällige Jahresschwankungen rechtfertigen eine Abweichung vom Mittelwert des Anfangs- und Endbestandes</v>
      </c>
    </row>
    <row r="31" spans="2:11">
      <c r="B31" s="590" t="str">
        <f>Textes!A236</f>
        <v>- AFP Säugende Zuchtschweine:  Der berechnete Durchschnittsbestand gemäss Formel kann maximal dem Mittelwert der eingestallten Tiere entsprechen</v>
      </c>
    </row>
    <row r="32" spans="2:11">
      <c r="B32" s="590" t="str">
        <f>Textes!A237</f>
        <v xml:space="preserve">       (z.B. falls bei jedem Umtrieb 30 Sauen eingestallt werden, kann der Durchschnittsbestand nicht grösser als 30 sein).</v>
      </c>
    </row>
    <row r="33" spans="2:2">
      <c r="B33" s="590" t="str">
        <f>Textes!A238</f>
        <v xml:space="preserve">       Gewichtsabnahme Tiereingang und Tierausgang: standardmässig 50 kg, sonst Wägung</v>
      </c>
    </row>
    <row r="34" spans="2:2">
      <c r="B34" s="590" t="str">
        <f>Textes!A239</f>
        <v>- AFP Galtsauen: Gewichtszunahme Tiereingang und Tierausgang: standardmässig 50 kg, sonst Wägung</v>
      </c>
    </row>
    <row r="35" spans="2:2">
      <c r="B35" s="590" t="str">
        <f>Textes!A240</f>
        <v>- AFP Abferkelbetrieb mit Ferkelaufzucht berücksichtigen neben dem Zuwachs von 176 kg auch das Inventar (=&gt; sämtlicher Zuwachs zwischen 9 und 25 kg LG)</v>
      </c>
    </row>
    <row r="36" spans="2:2">
      <c r="B36" s="590"/>
    </row>
  </sheetData>
  <sheetProtection password="8C69" sheet="1" objects="1" scenarios="1"/>
  <phoneticPr fontId="28" type="noConversion"/>
  <pageMargins left="0.32" right="0.28000000000000003" top="0.39370078740157483" bottom="0.32" header="0.11811023622047245" footer="0.11811023622047245"/>
  <pageSetup paperSize="9" scale="89" orientation="landscape" r:id="rId1"/>
  <headerFooter alignWithMargins="0">
    <oddFooter>&amp;C&amp;9&amp;F&amp;L&amp;"Arial,Fett"&amp;11AGRIDEA &amp;"Arial,Standard"&amp;9Impex, Version 2.6&amp;R&amp;"Arial,Standard"&amp;9&amp;D / Seite &amp;P</oddFooter>
  </headerFooter>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4">
    <pageSetUpPr fitToPage="1"/>
  </sheetPr>
  <dimension ref="A1:P178"/>
  <sheetViews>
    <sheetView showGridLines="0" showRowColHeaders="0" showZeros="0" tabSelected="1" zoomScaleNormal="100" workbookViewId="0">
      <pane ySplit="15" topLeftCell="A16" activePane="bottomLeft" state="frozen"/>
      <selection activeCell="D19" sqref="D19"/>
      <selection pane="bottomLeft" activeCell="B17" sqref="B17"/>
    </sheetView>
  </sheetViews>
  <sheetFormatPr baseColWidth="10" defaultColWidth="11.5703125" defaultRowHeight="12.75"/>
  <cols>
    <col min="1" max="1" width="2.7109375" style="422" customWidth="1"/>
    <col min="2" max="2" width="11.5703125" style="422" customWidth="1"/>
    <col min="3" max="3" width="5.28515625" style="422" customWidth="1"/>
    <col min="4" max="4" width="9.7109375" style="420" customWidth="1"/>
    <col min="5" max="5" width="14.85546875" style="420" customWidth="1"/>
    <col min="6" max="6" width="10.7109375" style="420" customWidth="1"/>
    <col min="7" max="7" width="7.5703125" style="420" hidden="1" customWidth="1"/>
    <col min="8" max="8" width="12.7109375" style="420" customWidth="1"/>
    <col min="9" max="9" width="12.7109375" style="421" customWidth="1"/>
    <col min="10" max="10" width="15.7109375" style="422" customWidth="1"/>
    <col min="11" max="11" width="11.85546875" style="420" bestFit="1" customWidth="1"/>
    <col min="12" max="12" width="2.7109375" style="420" customWidth="1"/>
    <col min="13" max="13" width="9" style="420" hidden="1" customWidth="1"/>
    <col min="14" max="14" width="9.140625" style="422" hidden="1" customWidth="1"/>
    <col min="15" max="15" width="11.28515625" style="552" hidden="1" customWidth="1"/>
    <col min="16" max="16" width="11.5703125" style="553" hidden="1" customWidth="1"/>
    <col min="17" max="16384" width="11.5703125" style="422"/>
  </cols>
  <sheetData>
    <row r="1" spans="2:16" ht="5.0999999999999996" customHeight="1">
      <c r="C1" s="419"/>
      <c r="K1" s="423"/>
    </row>
    <row r="2" spans="2:16" ht="39.950000000000003" customHeight="1">
      <c r="B2" s="419"/>
      <c r="C2" s="419"/>
      <c r="L2" s="545" t="str">
        <f>Textes!A251</f>
        <v>Stall 1</v>
      </c>
    </row>
    <row r="3" spans="2:16">
      <c r="B3" s="425" t="str">
        <f>Textes!A257</f>
        <v>Achtung: Massgebende Periode ist das Kalenderjahr.</v>
      </c>
      <c r="C3" s="419"/>
    </row>
    <row r="4" spans="2:16">
      <c r="B4" s="425" t="str">
        <f>Textes!A258</f>
        <v xml:space="preserve">               Vor der Periode angefangene und nicht innert der Periode abgeschlossene Umtriebe sind ganz zu erfassen!</v>
      </c>
      <c r="C4" s="419"/>
    </row>
    <row r="5" spans="2:16" ht="6" customHeight="1">
      <c r="B5" s="419"/>
      <c r="C5" s="419"/>
    </row>
    <row r="6" spans="2:16">
      <c r="B6" s="425" t="str">
        <f>Textes!A19</f>
        <v>Periode:</v>
      </c>
      <c r="C6" s="424"/>
      <c r="E6" s="485" t="str">
        <f>Textes!A20</f>
        <v>Datum Anfang:</v>
      </c>
      <c r="F6" s="486" t="str">
        <f>IF(Inv!I8=0,"",Inv!I8)</f>
        <v/>
      </c>
      <c r="G6" s="484"/>
      <c r="H6" s="487" t="str">
        <f>Textes!A21</f>
        <v>Datum Ende:</v>
      </c>
      <c r="I6" s="486" t="str">
        <f>IF(Inv!I9=0,"",Inv!I9)</f>
        <v/>
      </c>
      <c r="J6" s="483" t="str">
        <f>Textes!A22</f>
        <v>Dauer in Tagen:</v>
      </c>
      <c r="K6" s="488" t="str">
        <f>IF(OR(F6="",I6=""),"",I6-F6+1)</f>
        <v/>
      </c>
    </row>
    <row r="7" spans="2:16">
      <c r="B7" s="425"/>
      <c r="C7" s="424"/>
      <c r="E7" s="485"/>
      <c r="F7" s="570" t="e">
        <f>YEAR(F6)</f>
        <v>#VALUE!</v>
      </c>
      <c r="G7" s="484"/>
      <c r="H7" s="487"/>
      <c r="I7" s="486"/>
      <c r="J7" s="483"/>
      <c r="K7" s="488"/>
    </row>
    <row r="8" spans="2:16">
      <c r="B8" s="425" t="str">
        <f>+Textes!A9</f>
        <v>Betriebs-Nr:</v>
      </c>
      <c r="C8" s="424"/>
      <c r="E8" s="484" t="str">
        <f>IF(Inv!D4=0,"",Inv!D4)</f>
        <v/>
      </c>
      <c r="F8" s="484"/>
      <c r="G8" s="484"/>
      <c r="H8" s="484"/>
      <c r="I8" s="484"/>
      <c r="J8" s="484"/>
      <c r="K8" s="484"/>
    </row>
    <row r="9" spans="2:16">
      <c r="B9" s="425" t="str">
        <f>+Textes!A10</f>
        <v>Name:</v>
      </c>
      <c r="C9" s="424"/>
      <c r="E9" s="484" t="str">
        <f>IF(Inv!D5=0,"",Inv!D6 &amp; " " &amp; Inv!D5)</f>
        <v/>
      </c>
      <c r="F9" s="484"/>
      <c r="G9" s="484"/>
      <c r="H9" s="484"/>
      <c r="I9" s="484"/>
      <c r="J9" s="484"/>
      <c r="K9" s="484"/>
    </row>
    <row r="10" spans="2:16">
      <c r="B10" s="425" t="str">
        <f>+Textes!A13</f>
        <v>Adresse:</v>
      </c>
      <c r="C10" s="424"/>
      <c r="E10" s="484" t="str">
        <f>IF(Inv!D7=0,"",Inv!D7)</f>
        <v/>
      </c>
      <c r="F10" s="484"/>
      <c r="G10" s="484"/>
      <c r="H10" s="484"/>
      <c r="I10" s="484"/>
      <c r="J10" s="484"/>
      <c r="K10" s="484"/>
    </row>
    <row r="11" spans="2:16">
      <c r="B11" s="425" t="str">
        <f>+Textes!A14</f>
        <v>PLZ, Ort:</v>
      </c>
      <c r="C11" s="424"/>
      <c r="E11" s="484" t="str">
        <f>IF(Inv!D9=0,"",Inv!D9)</f>
        <v/>
      </c>
      <c r="F11" s="484"/>
      <c r="G11" s="484"/>
      <c r="H11" s="484"/>
      <c r="I11" s="484"/>
      <c r="J11" s="484"/>
      <c r="K11" s="484"/>
    </row>
    <row r="12" spans="2:16" ht="4.9000000000000004" customHeight="1">
      <c r="B12" s="425"/>
      <c r="E12" s="426"/>
      <c r="F12" s="426"/>
      <c r="G12" s="426"/>
      <c r="H12" s="426"/>
      <c r="I12" s="427"/>
      <c r="J12" s="52"/>
      <c r="K12" s="426"/>
    </row>
    <row r="13" spans="2:16">
      <c r="B13" s="425"/>
      <c r="C13" s="425"/>
      <c r="D13" s="428"/>
      <c r="E13" s="428"/>
      <c r="F13" s="428"/>
      <c r="G13" s="428"/>
      <c r="H13" s="428">
        <f>Textes!A262</f>
        <v>0</v>
      </c>
      <c r="I13" s="429"/>
      <c r="J13" s="425" t="str">
        <f>Textes!A266</f>
        <v>Anzahl ge-</v>
      </c>
      <c r="K13" s="428" t="str">
        <f>Textes!A269</f>
        <v>Massgebende</v>
      </c>
      <c r="O13" s="554"/>
      <c r="P13" s="553" t="s">
        <v>22</v>
      </c>
    </row>
    <row r="14" spans="2:16">
      <c r="B14" s="425"/>
      <c r="C14" s="425"/>
      <c r="D14" s="428"/>
      <c r="E14" s="428"/>
      <c r="F14" s="428"/>
      <c r="G14" s="428" t="s">
        <v>816</v>
      </c>
      <c r="H14" s="428">
        <f>Textes!A263</f>
        <v>0</v>
      </c>
      <c r="I14" s="428"/>
      <c r="J14" s="425" t="str">
        <f>Textes!A267</f>
        <v>schlachtete</v>
      </c>
      <c r="K14" s="428" t="str">
        <f>Textes!A270</f>
        <v>Anzahl Tiere</v>
      </c>
      <c r="O14" s="552" t="s">
        <v>23</v>
      </c>
      <c r="P14" s="553" t="s">
        <v>24</v>
      </c>
    </row>
    <row r="15" spans="2:16">
      <c r="B15" s="425" t="str">
        <f>Textes!A259</f>
        <v>Datum</v>
      </c>
      <c r="C15" s="425"/>
      <c r="D15" s="428" t="str">
        <f>Textes!A260</f>
        <v>Anzahl Tiere</v>
      </c>
      <c r="E15" s="428"/>
      <c r="F15" s="428" t="str">
        <f>Textes!A261</f>
        <v>kg LG total</v>
      </c>
      <c r="G15" s="428" t="s">
        <v>818</v>
      </c>
      <c r="H15" s="428" t="str">
        <f>Textes!A264</f>
        <v>Masttage</v>
      </c>
      <c r="I15" s="430" t="str">
        <f>Textes!A265</f>
        <v>Faktor</v>
      </c>
      <c r="J15" s="425" t="str">
        <f>Textes!A268</f>
        <v>Tiere x Faktor</v>
      </c>
      <c r="K15" s="428" t="str">
        <f>Textes!A271</f>
        <v>je Umtrieb</v>
      </c>
      <c r="N15" s="420"/>
      <c r="O15" s="555" t="s">
        <v>25</v>
      </c>
      <c r="P15" s="553" t="s">
        <v>26</v>
      </c>
    </row>
    <row r="16" spans="2:16" ht="13.5" thickBot="1">
      <c r="B16" s="431" t="str">
        <f>Textes!A272</f>
        <v>Umtrieb 1</v>
      </c>
      <c r="C16" s="559"/>
      <c r="D16" s="433"/>
      <c r="E16" s="433"/>
      <c r="F16" s="433"/>
      <c r="G16" s="433"/>
      <c r="H16" s="433"/>
      <c r="I16" s="434"/>
      <c r="J16" s="435"/>
      <c r="K16" s="433"/>
      <c r="L16" s="436"/>
    </row>
    <row r="17" spans="2:16" ht="13.5" thickBot="1">
      <c r="B17" s="489"/>
      <c r="C17" s="571">
        <f t="shared" ref="C17:C22" si="0">YEAR(B17)</f>
        <v>1900</v>
      </c>
      <c r="D17" s="490"/>
      <c r="E17" s="437" t="str">
        <f>Textes!A284</f>
        <v>Einstallung</v>
      </c>
      <c r="F17" s="551">
        <f>D17*0.04</f>
        <v>0</v>
      </c>
      <c r="G17" s="437">
        <f>IF(D17&gt;0,D17,0)</f>
        <v>0</v>
      </c>
      <c r="H17" s="437"/>
      <c r="I17" s="438"/>
      <c r="J17" s="439"/>
      <c r="K17" s="437"/>
      <c r="L17" s="440"/>
      <c r="M17" s="560">
        <f t="shared" ref="M17:M22" si="1">IF(OR(B17="",D17=""),0,H17+(F$6-B17)-1)</f>
        <v>0</v>
      </c>
      <c r="N17" s="561">
        <f>IF(D17="",0,IF(M17=0,VLOOKUP(1,Faktoren!$B$16:$D$55,2)/1000,VLOOKUP(M17,Faktoren!$B$16:$D$55,2)/1000))</f>
        <v>0</v>
      </c>
    </row>
    <row r="18" spans="2:16">
      <c r="B18" s="489"/>
      <c r="C18" s="571">
        <f t="shared" si="0"/>
        <v>1900</v>
      </c>
      <c r="D18" s="491"/>
      <c r="E18" s="437" t="str">
        <f>Textes!A285</f>
        <v>1. Schlachtung</v>
      </c>
      <c r="F18" s="491"/>
      <c r="G18" s="437">
        <f>IF(D17-D18&gt;0,D17-D18,0)</f>
        <v>0</v>
      </c>
      <c r="H18" s="437">
        <f>IF(AND(D18&gt;0,B18&gt;0),B18-B17+1,0)</f>
        <v>0</v>
      </c>
      <c r="I18" s="441">
        <f>IF(H18&gt;0,IF(H18&gt;Faktoren!$D$5,Faktoren!$E$4,Faktoren!$E$5),0)</f>
        <v>0</v>
      </c>
      <c r="J18" s="439">
        <f>IF(H18&gt;0,D18*I18,0)</f>
        <v>0</v>
      </c>
      <c r="K18" s="437"/>
      <c r="L18" s="440"/>
      <c r="M18" s="560">
        <f t="shared" si="1"/>
        <v>0</v>
      </c>
      <c r="N18" s="561">
        <f>IF(OR(D18="",M18=0),0,VLOOKUP(M18,Faktoren!$B$16:$D$55,2)/1000)</f>
        <v>0</v>
      </c>
    </row>
    <row r="19" spans="2:16">
      <c r="B19" s="489"/>
      <c r="C19" s="571">
        <f t="shared" si="0"/>
        <v>1900</v>
      </c>
      <c r="D19" s="492"/>
      <c r="E19" s="437" t="str">
        <f>Textes!A286</f>
        <v>2. Schlachtung</v>
      </c>
      <c r="F19" s="492"/>
      <c r="G19" s="437">
        <f>IF(D17-D18-D19&gt;0,D17-D18-D19,0)</f>
        <v>0</v>
      </c>
      <c r="H19" s="437">
        <f>IF(AND(D19&gt;0,B19&gt;0),B19-B17+1,0)</f>
        <v>0</v>
      </c>
      <c r="I19" s="441">
        <f>IF(H19&gt;0,IF(H19&gt;Faktoren!$D$5,Faktoren!$E$4,Faktoren!$E$5),0)</f>
        <v>0</v>
      </c>
      <c r="J19" s="439">
        <f>IF(H19&gt;0,D19*I19,0)</f>
        <v>0</v>
      </c>
      <c r="K19" s="437"/>
      <c r="L19" s="440"/>
      <c r="M19" s="560">
        <f t="shared" si="1"/>
        <v>0</v>
      </c>
      <c r="N19" s="561">
        <f>IF(OR(D19="",M19=0),0,VLOOKUP(M19,Faktoren!$B$16:$D$55,2)/1000)</f>
        <v>0</v>
      </c>
    </row>
    <row r="20" spans="2:16">
      <c r="B20" s="489"/>
      <c r="C20" s="571">
        <f t="shared" si="0"/>
        <v>1900</v>
      </c>
      <c r="D20" s="492"/>
      <c r="E20" s="437" t="str">
        <f>Textes!A287</f>
        <v>3. Schlachtung</v>
      </c>
      <c r="F20" s="492"/>
      <c r="G20" s="437">
        <f>IF(D17-D18-D19-D20&gt;0,D17-D18-D19-D20,0)</f>
        <v>0</v>
      </c>
      <c r="H20" s="437">
        <f>IF(AND(D20&gt;0,B20&gt;0),B20-B17+1,0)</f>
        <v>0</v>
      </c>
      <c r="I20" s="441">
        <f>IF(H20&gt;0,IF(H20&gt;Faktoren!$D$5,Faktoren!$E$4,Faktoren!$E$5),0)</f>
        <v>0</v>
      </c>
      <c r="J20" s="439">
        <f>IF(H20&gt;0,D20*I20,0)</f>
        <v>0</v>
      </c>
      <c r="K20" s="437"/>
      <c r="L20" s="440"/>
      <c r="M20" s="560">
        <f t="shared" si="1"/>
        <v>0</v>
      </c>
      <c r="N20" s="561">
        <f>IF(OR(D20="",M20=0),0,VLOOKUP(M20,Faktoren!$B$16:$D$55,2)/1000)</f>
        <v>0</v>
      </c>
    </row>
    <row r="21" spans="2:16">
      <c r="B21" s="489"/>
      <c r="C21" s="571">
        <f t="shared" si="0"/>
        <v>1900</v>
      </c>
      <c r="D21" s="492"/>
      <c r="E21" s="437" t="str">
        <f>Textes!A288</f>
        <v>4. Schlachtung</v>
      </c>
      <c r="F21" s="492"/>
      <c r="G21" s="437">
        <f>IF(D17-D18-D19-D20-D21&gt;0,D17-D18-D19-D20-D21,0)</f>
        <v>0</v>
      </c>
      <c r="H21" s="437">
        <f>IF(AND(D21&gt;0,B21&gt;0),B21-B17+1,0)</f>
        <v>0</v>
      </c>
      <c r="I21" s="441">
        <f>IF(H21&gt;0,IF(H21&gt;Faktoren!$D$5,Faktoren!$E$4,Faktoren!$E$5),0)</f>
        <v>0</v>
      </c>
      <c r="J21" s="439">
        <f>IF(H21&gt;0,D21*I21,0)</f>
        <v>0</v>
      </c>
      <c r="K21" s="437"/>
      <c r="L21" s="440"/>
      <c r="M21" s="560">
        <f t="shared" si="1"/>
        <v>0</v>
      </c>
      <c r="N21" s="561">
        <f>IF(OR(D21="",M21=0),0,VLOOKUP(M21,Faktoren!$B$16:$D$55,2)/1000)</f>
        <v>0</v>
      </c>
    </row>
    <row r="22" spans="2:16" ht="13.5" thickBot="1">
      <c r="B22" s="489"/>
      <c r="C22" s="571">
        <f t="shared" si="0"/>
        <v>1900</v>
      </c>
      <c r="D22" s="492"/>
      <c r="E22" s="437" t="str">
        <f>Textes!A289</f>
        <v>5. Schlachtung</v>
      </c>
      <c r="F22" s="492"/>
      <c r="G22" s="437">
        <f>IF(D17-D18-D19-D20-D21-D22&gt;0,D17-D18-D19-D20-D21-D22,0)</f>
        <v>0</v>
      </c>
      <c r="H22" s="437">
        <f>IF(AND(D22&gt;0,B22&gt;0),B22-B17+1,0)</f>
        <v>0</v>
      </c>
      <c r="I22" s="441">
        <f>IF(H22&gt;0,IF(H22&gt;Faktoren!$D$5,Faktoren!$E$4,Faktoren!$E$5),0)</f>
        <v>0</v>
      </c>
      <c r="J22" s="439">
        <f>IF(H22&gt;0,D22*I22,0)</f>
        <v>0</v>
      </c>
      <c r="K22" s="437"/>
      <c r="L22" s="440"/>
      <c r="M22" s="560">
        <f t="shared" si="1"/>
        <v>0</v>
      </c>
      <c r="N22" s="561">
        <f>IF(OR(D22="",M22=0),0,VLOOKUP(M22,Faktoren!$B$16:$D$55,2)/1000)</f>
        <v>0</v>
      </c>
    </row>
    <row r="23" spans="2:16" ht="13.5" thickBot="1">
      <c r="B23" s="482" t="str">
        <f>E23</f>
        <v>Abgänge</v>
      </c>
      <c r="C23" s="442"/>
      <c r="D23" s="437">
        <f>+D17-SUM(D18:D22)</f>
        <v>0</v>
      </c>
      <c r="E23" s="437" t="str">
        <f>Textes!A290</f>
        <v>Abgänge</v>
      </c>
      <c r="F23" s="492">
        <f>D23*0.6</f>
        <v>0</v>
      </c>
      <c r="G23" s="437"/>
      <c r="H23" s="437"/>
      <c r="I23" s="438">
        <f>IF(D23&gt;0,Faktoren!$E$7,0)</f>
        <v>0</v>
      </c>
      <c r="J23" s="439">
        <f>IF(D23&gt;0,D23*I23,0)</f>
        <v>0</v>
      </c>
      <c r="K23" s="443">
        <f>SUM(J18:J23)</f>
        <v>0</v>
      </c>
      <c r="L23" s="440"/>
      <c r="M23" s="560">
        <f>IF(B17=F6,G17,IF(MIN(B17:B22)&gt;$F$6,0,VLOOKUP($F$6,B17:G22,6)))</f>
        <v>0</v>
      </c>
      <c r="N23" s="561"/>
      <c r="O23" s="556">
        <f>MAX(B17:B22)</f>
        <v>0</v>
      </c>
      <c r="P23" s="553">
        <f>IF(OR($F$6="",I$6="",O23&lt;F$6),99,IF(AND(B17&gt;=F$6,O23&lt;I$6),0,1))</f>
        <v>99</v>
      </c>
    </row>
    <row r="24" spans="2:16">
      <c r="B24" s="444"/>
      <c r="C24" s="439"/>
      <c r="D24" s="439">
        <f>IF(D17&gt;0,ROUND(+D23/D17*100,1),0)</f>
        <v>0</v>
      </c>
      <c r="E24" s="437" t="str">
        <f>Textes!A291</f>
        <v>Abgänge in %</v>
      </c>
      <c r="F24" s="437"/>
      <c r="G24" s="445" t="s">
        <v>830</v>
      </c>
      <c r="H24" s="437">
        <f>MAX(H17:H22)</f>
        <v>0</v>
      </c>
      <c r="I24" s="438" t="str">
        <f>Textes!A293</f>
        <v>Tage Stall belegt</v>
      </c>
      <c r="J24" s="439"/>
      <c r="K24" s="437"/>
      <c r="L24" s="440"/>
      <c r="N24" s="553">
        <f>IF(P23=1,O23-$F$6+1,H24)</f>
        <v>0</v>
      </c>
    </row>
    <row r="25" spans="2:16">
      <c r="B25" s="446"/>
      <c r="C25" s="447"/>
      <c r="D25" s="558">
        <f>IF(P23=99,0,IF(P23=0,H24/MAX(H18:H22),IF(P23=1,(O23-$F$6)/H24,0)))</f>
        <v>0</v>
      </c>
      <c r="E25" s="448" t="str">
        <f>Textes!A292</f>
        <v>Umtriebe</v>
      </c>
      <c r="F25" s="448"/>
      <c r="G25" s="447"/>
      <c r="H25" s="448">
        <f>IF(B27&lt;&gt;0,(B27-O23),0)</f>
        <v>0</v>
      </c>
      <c r="I25" s="438" t="str">
        <f>Textes!A294</f>
        <v>Tage Stall leer</v>
      </c>
      <c r="J25" s="447"/>
      <c r="K25" s="448"/>
      <c r="L25" s="450"/>
    </row>
    <row r="26" spans="2:16" ht="13.5" thickBot="1">
      <c r="B26" s="431" t="str">
        <f>Textes!A273</f>
        <v>Umtrieb 2</v>
      </c>
      <c r="C26" s="432"/>
      <c r="D26" s="433"/>
      <c r="E26" s="433"/>
      <c r="F26" s="433"/>
      <c r="G26" s="433"/>
      <c r="H26" s="433"/>
      <c r="I26" s="434"/>
      <c r="J26" s="435"/>
      <c r="K26" s="433"/>
      <c r="L26" s="436"/>
    </row>
    <row r="27" spans="2:16" ht="13.5" thickBot="1">
      <c r="B27" s="489"/>
      <c r="C27" s="569">
        <f t="shared" ref="C27:C32" si="2">YEAR(B27)</f>
        <v>1900</v>
      </c>
      <c r="D27" s="490"/>
      <c r="E27" s="437" t="str">
        <f>Textes!A284</f>
        <v>Einstallung</v>
      </c>
      <c r="F27" s="551">
        <f>D27*0.04</f>
        <v>0</v>
      </c>
      <c r="G27" s="437">
        <f>IF(D27&gt;0,D27,0)</f>
        <v>0</v>
      </c>
      <c r="H27" s="437"/>
      <c r="I27" s="438"/>
      <c r="J27" s="439"/>
      <c r="K27" s="437"/>
      <c r="L27" s="440"/>
      <c r="M27" s="560">
        <f>IF(OR(B27="",D27=""),0,IF((I$6-B27)=0,1,H27+(I$6-B27)))</f>
        <v>0</v>
      </c>
      <c r="N27" s="561">
        <f>IF(D27="",0,VLOOKUP(M27,Faktoren!$B$16:$D$55,2)/1000)</f>
        <v>0</v>
      </c>
    </row>
    <row r="28" spans="2:16">
      <c r="B28" s="489"/>
      <c r="C28" s="569">
        <f t="shared" si="2"/>
        <v>1900</v>
      </c>
      <c r="D28" s="491"/>
      <c r="E28" s="437" t="str">
        <f>Textes!A285</f>
        <v>1. Schlachtung</v>
      </c>
      <c r="F28" s="491"/>
      <c r="G28" s="437">
        <f>IF(D27-D28&gt;0,D27-D28,0)</f>
        <v>0</v>
      </c>
      <c r="H28" s="437">
        <f>IF(AND(D28&gt;0,B28&gt;0),B28-B27+1,0)</f>
        <v>0</v>
      </c>
      <c r="I28" s="441">
        <f>IF(H28&gt;0,IF(H28&gt;Faktoren!$D$5,Faktoren!$E$4,Faktoren!$E$5),0)</f>
        <v>0</v>
      </c>
      <c r="J28" s="439">
        <f>IF(H28&gt;0,D28*I28,0)</f>
        <v>0</v>
      </c>
      <c r="K28" s="437"/>
      <c r="L28" s="440"/>
      <c r="M28" s="560">
        <f>IF(OR(B28="",D28=""),0,H28+(I$6-B28))</f>
        <v>0</v>
      </c>
      <c r="N28" s="561">
        <f>IF(D28="",0,VLOOKUP(M28,Faktoren!$B$16:$D$55,2)/1000)</f>
        <v>0</v>
      </c>
    </row>
    <row r="29" spans="2:16">
      <c r="B29" s="489"/>
      <c r="C29" s="569">
        <f t="shared" si="2"/>
        <v>1900</v>
      </c>
      <c r="D29" s="492"/>
      <c r="E29" s="437" t="str">
        <f>Textes!A286</f>
        <v>2. Schlachtung</v>
      </c>
      <c r="F29" s="492"/>
      <c r="G29" s="437">
        <f>IF(D27-D28-D29&gt;0,D27-D28-D29,0)</f>
        <v>0</v>
      </c>
      <c r="H29" s="437">
        <f>IF(AND(D29&gt;0,B29&gt;0),B29-B27+1,0)</f>
        <v>0</v>
      </c>
      <c r="I29" s="441">
        <f>IF(H29&gt;0,IF(H29&gt;Faktoren!$D$5,Faktoren!$E$4,Faktoren!$E$5),0)</f>
        <v>0</v>
      </c>
      <c r="J29" s="439">
        <f>IF(H29&gt;0,D29*I29,0)</f>
        <v>0</v>
      </c>
      <c r="K29" s="437"/>
      <c r="L29" s="440"/>
      <c r="M29" s="560">
        <f>IF(OR(B29="",D29=""),0,H29+(I$6-B29))</f>
        <v>0</v>
      </c>
      <c r="N29" s="561">
        <f>IF(D29="",0,VLOOKUP(M29,Faktoren!$B$16:$D$55,2)/1000)</f>
        <v>0</v>
      </c>
    </row>
    <row r="30" spans="2:16">
      <c r="B30" s="489"/>
      <c r="C30" s="569">
        <f t="shared" si="2"/>
        <v>1900</v>
      </c>
      <c r="D30" s="492"/>
      <c r="E30" s="437" t="str">
        <f>Textes!A287</f>
        <v>3. Schlachtung</v>
      </c>
      <c r="F30" s="492"/>
      <c r="G30" s="437">
        <f>IF(D27-D28-D29-D30&gt;0,D27-D28-D29-D30,0)</f>
        <v>0</v>
      </c>
      <c r="H30" s="437">
        <f>IF(AND(D30&gt;0,B30&gt;0),B30-B27+1,0)</f>
        <v>0</v>
      </c>
      <c r="I30" s="441">
        <f>IF(H30&gt;0,IF(H30&gt;Faktoren!$D$5,Faktoren!$E$4,Faktoren!$E$5),0)</f>
        <v>0</v>
      </c>
      <c r="J30" s="439">
        <f>IF(H30&gt;0,D30*I30,0)</f>
        <v>0</v>
      </c>
      <c r="K30" s="437"/>
      <c r="L30" s="440"/>
      <c r="M30" s="560">
        <f>IF(OR(B30="",D30=""),0,H30+(I$6-B30))</f>
        <v>0</v>
      </c>
      <c r="N30" s="561">
        <f>IF(D30="",0,VLOOKUP(M30,Faktoren!$B$16:$D$55,2)/1000)</f>
        <v>0</v>
      </c>
    </row>
    <row r="31" spans="2:16">
      <c r="B31" s="489"/>
      <c r="C31" s="569">
        <f t="shared" si="2"/>
        <v>1900</v>
      </c>
      <c r="D31" s="492"/>
      <c r="E31" s="437" t="str">
        <f>Textes!A288</f>
        <v>4. Schlachtung</v>
      </c>
      <c r="F31" s="492"/>
      <c r="G31" s="437">
        <f>IF(D27-D28-D29-D30-D31&gt;0,D27-D28-D29-D30-D31,0)</f>
        <v>0</v>
      </c>
      <c r="H31" s="437">
        <f>IF(AND(D31&gt;0,B31&gt;0),B31-B27+1,0)</f>
        <v>0</v>
      </c>
      <c r="I31" s="441">
        <f>IF(H31&gt;0,IF(H31&gt;Faktoren!$D$5,Faktoren!$E$4,Faktoren!$E$5),0)</f>
        <v>0</v>
      </c>
      <c r="J31" s="439">
        <f>IF(H31&gt;0,D31*I31,0)</f>
        <v>0</v>
      </c>
      <c r="K31" s="437"/>
      <c r="L31" s="440"/>
      <c r="M31" s="560">
        <f>IF(OR(B31="",D31=""),0,H31+(I$6-B31))</f>
        <v>0</v>
      </c>
      <c r="N31" s="561">
        <f>IF(D31="",0,VLOOKUP(M31,Faktoren!$B$16:$D$55,2)/1000)</f>
        <v>0</v>
      </c>
    </row>
    <row r="32" spans="2:16" ht="13.5" thickBot="1">
      <c r="B32" s="489"/>
      <c r="C32" s="569">
        <f t="shared" si="2"/>
        <v>1900</v>
      </c>
      <c r="D32" s="492"/>
      <c r="E32" s="437" t="str">
        <f>Textes!A289</f>
        <v>5. Schlachtung</v>
      </c>
      <c r="F32" s="492"/>
      <c r="G32" s="437">
        <f>IF(D27-D28-D29-D30-D31-D32&gt;0,D27-D28-D29-D30-D31-D32,0)</f>
        <v>0</v>
      </c>
      <c r="H32" s="437">
        <f>IF(AND(D32&gt;0,B32&gt;0),B32-B27+1,0)</f>
        <v>0</v>
      </c>
      <c r="I32" s="441">
        <f>IF(H32&gt;0,IF(H32&gt;Faktoren!$D$5,Faktoren!$E$4,Faktoren!$E$5),0)</f>
        <v>0</v>
      </c>
      <c r="J32" s="439">
        <f>IF(H32&gt;0,D32*I32,0)</f>
        <v>0</v>
      </c>
      <c r="K32" s="437"/>
      <c r="L32" s="440"/>
      <c r="M32" s="560">
        <f>IF(OR(B32="",D32=""),0,H32+(I$6-B32))</f>
        <v>0</v>
      </c>
      <c r="N32" s="561">
        <f>IF(D32="",0,VLOOKUP(M32,Faktoren!$B$16:$D$55,2)/1000)</f>
        <v>0</v>
      </c>
    </row>
    <row r="33" spans="2:16" ht="13.5" thickBot="1">
      <c r="B33" s="482" t="str">
        <f>E33</f>
        <v>Abgänge</v>
      </c>
      <c r="C33" s="442"/>
      <c r="D33" s="437">
        <f>+D27-SUM(D28:D32)</f>
        <v>0</v>
      </c>
      <c r="E33" s="437" t="str">
        <f>Textes!A290</f>
        <v>Abgänge</v>
      </c>
      <c r="F33" s="492">
        <f>D33*0.6</f>
        <v>0</v>
      </c>
      <c r="G33" s="437"/>
      <c r="H33" s="437"/>
      <c r="I33" s="438">
        <f>IF(D33&gt;0,Faktoren!$E$7,0)</f>
        <v>0</v>
      </c>
      <c r="J33" s="439">
        <f>IF(D33&gt;0,D33*I33,0)</f>
        <v>0</v>
      </c>
      <c r="K33" s="443">
        <f>SUM(J28:J33)</f>
        <v>0</v>
      </c>
      <c r="L33" s="440"/>
      <c r="M33" s="560">
        <f>IF(MAX(B27:B32)&lt;$I$6,0,VLOOKUP($I$6,B27:G32,6))</f>
        <v>0</v>
      </c>
      <c r="O33" s="557">
        <f>MAX(B27:B32)</f>
        <v>0</v>
      </c>
      <c r="P33" s="553">
        <f>IF(OR($F$6="",I$6="",O33&lt;F$6),99,IF(AND(O33&gt;F$6,O33&lt;I$6),0,1))</f>
        <v>99</v>
      </c>
    </row>
    <row r="34" spans="2:16">
      <c r="B34" s="444"/>
      <c r="C34" s="439"/>
      <c r="D34" s="439">
        <f>IF(D27&gt;0,ROUND(+D33/D27*100,1),0)</f>
        <v>0</v>
      </c>
      <c r="E34" s="437" t="str">
        <f>Textes!A291</f>
        <v>Abgänge in %</v>
      </c>
      <c r="F34" s="437"/>
      <c r="G34" s="445" t="s">
        <v>830</v>
      </c>
      <c r="H34" s="437">
        <f>MAX(H27:H32)</f>
        <v>0</v>
      </c>
      <c r="I34" s="438" t="str">
        <f>Textes!A293</f>
        <v>Tage Stall belegt</v>
      </c>
      <c r="J34" s="439"/>
      <c r="K34" s="437"/>
      <c r="L34" s="440"/>
      <c r="N34" s="553">
        <f>IF(P33=1,$I$6-B27+1,H34)</f>
        <v>0</v>
      </c>
    </row>
    <row r="35" spans="2:16">
      <c r="B35" s="451"/>
      <c r="C35" s="452"/>
      <c r="D35" s="558">
        <f>IF(P33=99,0,IF(P33=0,H34/MAX(H28:H32),IF(P33=1,(H34-(O33-$I$6))/H34,0)))</f>
        <v>0</v>
      </c>
      <c r="E35" s="448" t="str">
        <f>Textes!A292</f>
        <v>Umtriebe</v>
      </c>
      <c r="F35" s="448"/>
      <c r="G35" s="447"/>
      <c r="H35" s="448">
        <f>IF(B37&lt;&gt;0,(B37-O33),0)</f>
        <v>0</v>
      </c>
      <c r="I35" s="438" t="str">
        <f>Textes!A294</f>
        <v>Tage Stall leer</v>
      </c>
      <c r="J35" s="447"/>
      <c r="K35" s="448"/>
      <c r="L35" s="450"/>
    </row>
    <row r="36" spans="2:16" ht="13.5" thickBot="1">
      <c r="B36" s="431" t="str">
        <f>Textes!A274</f>
        <v>Umtrieb 3</v>
      </c>
      <c r="C36" s="432"/>
      <c r="D36" s="433"/>
      <c r="E36" s="433"/>
      <c r="F36" s="433"/>
      <c r="G36" s="433"/>
      <c r="H36" s="433"/>
      <c r="I36" s="434"/>
      <c r="J36" s="435"/>
      <c r="K36" s="433"/>
      <c r="L36" s="436"/>
    </row>
    <row r="37" spans="2:16" ht="13.5" thickBot="1">
      <c r="B37" s="489"/>
      <c r="C37" s="569">
        <f t="shared" ref="C37:C42" si="3">YEAR(B37)</f>
        <v>1900</v>
      </c>
      <c r="D37" s="490"/>
      <c r="E37" s="437" t="str">
        <f>Textes!A284</f>
        <v>Einstallung</v>
      </c>
      <c r="F37" s="551">
        <f>D37*0.04</f>
        <v>0</v>
      </c>
      <c r="G37" s="437">
        <f>IF(D37&gt;0,D37,0)</f>
        <v>0</v>
      </c>
      <c r="H37" s="437"/>
      <c r="I37" s="438"/>
      <c r="J37" s="439"/>
      <c r="K37" s="437"/>
      <c r="L37" s="440"/>
      <c r="M37" s="560">
        <f>IF(OR(B37="",D37=""),0,IF((I$6-B37)=0,1,H37+(I$6-B37)))</f>
        <v>0</v>
      </c>
      <c r="N37" s="561">
        <f>IF(D37="",0,VLOOKUP(M37,Faktoren!$B$16:$D$55,2)/1000)</f>
        <v>0</v>
      </c>
    </row>
    <row r="38" spans="2:16">
      <c r="B38" s="489"/>
      <c r="C38" s="569">
        <f t="shared" si="3"/>
        <v>1900</v>
      </c>
      <c r="D38" s="491"/>
      <c r="E38" s="437" t="str">
        <f>Textes!A285</f>
        <v>1. Schlachtung</v>
      </c>
      <c r="F38" s="491"/>
      <c r="G38" s="437">
        <f>IF(D37-D38&gt;0,D37-D38,0)</f>
        <v>0</v>
      </c>
      <c r="H38" s="437">
        <f>IF(AND(D38&gt;0,B38&gt;0),B38-B37+1,0)</f>
        <v>0</v>
      </c>
      <c r="I38" s="441">
        <f>IF(H38&gt;0,IF(H38&gt;Faktoren!$D$5,Faktoren!$E$4,Faktoren!$E$5),0)</f>
        <v>0</v>
      </c>
      <c r="J38" s="439">
        <f>IF(H38&gt;0,D38*I38,0)</f>
        <v>0</v>
      </c>
      <c r="K38" s="437"/>
      <c r="L38" s="440"/>
      <c r="M38" s="560">
        <f>IF(OR(B38="",D38=""),0,H38+(I$6-B38))</f>
        <v>0</v>
      </c>
      <c r="N38" s="561">
        <f>IF(D38="",0,VLOOKUP(M38,Faktoren!$B$16:$D$55,2)/1000)</f>
        <v>0</v>
      </c>
    </row>
    <row r="39" spans="2:16">
      <c r="B39" s="489"/>
      <c r="C39" s="569">
        <f t="shared" si="3"/>
        <v>1900</v>
      </c>
      <c r="D39" s="492"/>
      <c r="E39" s="437" t="str">
        <f>Textes!A286</f>
        <v>2. Schlachtung</v>
      </c>
      <c r="F39" s="492"/>
      <c r="G39" s="437">
        <f>IF(D37-D38-D39&gt;0,D37-D38-D39,0)</f>
        <v>0</v>
      </c>
      <c r="H39" s="437">
        <f>IF(AND(D39&gt;0,B39&gt;0),B39-B37+1,0)</f>
        <v>0</v>
      </c>
      <c r="I39" s="441">
        <f>IF(H39&gt;0,IF(H39&gt;Faktoren!$D$5,Faktoren!$E$4,Faktoren!$E$5),0)</f>
        <v>0</v>
      </c>
      <c r="J39" s="439">
        <f>IF(H39&gt;0,D39*I39,0)</f>
        <v>0</v>
      </c>
      <c r="K39" s="437"/>
      <c r="L39" s="440"/>
      <c r="M39" s="560">
        <f>IF(OR(B39="",D39=""),0,H39+(I$6-B39))</f>
        <v>0</v>
      </c>
      <c r="N39" s="561">
        <f>IF(D39="",0,VLOOKUP(M39,Faktoren!$B$16:$D$55,2)/1000)</f>
        <v>0</v>
      </c>
    </row>
    <row r="40" spans="2:16">
      <c r="B40" s="489"/>
      <c r="C40" s="569">
        <f t="shared" si="3"/>
        <v>1900</v>
      </c>
      <c r="D40" s="492"/>
      <c r="E40" s="437" t="str">
        <f>Textes!A287</f>
        <v>3. Schlachtung</v>
      </c>
      <c r="F40" s="492"/>
      <c r="G40" s="437">
        <f>IF(D37-D38-D39-D40&gt;0,D37-D38-D39-D40,0)</f>
        <v>0</v>
      </c>
      <c r="H40" s="437">
        <f>IF(AND(D40&gt;0,B40&gt;0),B40-B37+1,0)</f>
        <v>0</v>
      </c>
      <c r="I40" s="441">
        <f>IF(H40&gt;0,IF(H40&gt;Faktoren!$D$5,Faktoren!$E$4,Faktoren!$E$5),0)</f>
        <v>0</v>
      </c>
      <c r="J40" s="439">
        <f>IF(H40&gt;0,D40*I40,0)</f>
        <v>0</v>
      </c>
      <c r="K40" s="437"/>
      <c r="L40" s="440"/>
      <c r="M40" s="560">
        <f>IF(OR(B40="",D40=""),0,H40+(I$6-B40))</f>
        <v>0</v>
      </c>
      <c r="N40" s="561">
        <f>IF(D40="",0,VLOOKUP(M40,Faktoren!$B$16:$D$55,2)/1000)</f>
        <v>0</v>
      </c>
    </row>
    <row r="41" spans="2:16">
      <c r="B41" s="489"/>
      <c r="C41" s="569">
        <f t="shared" si="3"/>
        <v>1900</v>
      </c>
      <c r="D41" s="492"/>
      <c r="E41" s="437" t="str">
        <f>Textes!A288</f>
        <v>4. Schlachtung</v>
      </c>
      <c r="F41" s="492"/>
      <c r="G41" s="437">
        <f>IF(D37-D38-D39-D40-D41&gt;0,D37-D38-D39-D40-D41,0)</f>
        <v>0</v>
      </c>
      <c r="H41" s="437">
        <f>IF(AND(D41&gt;0,B41&gt;0),B41-B37+1,0)</f>
        <v>0</v>
      </c>
      <c r="I41" s="441">
        <f>IF(H41&gt;0,IF(H41&gt;Faktoren!$D$5,Faktoren!$E$4,Faktoren!$E$5),0)</f>
        <v>0</v>
      </c>
      <c r="J41" s="439">
        <f>IF(H41&gt;0,D41*I41,0)</f>
        <v>0</v>
      </c>
      <c r="K41" s="437"/>
      <c r="L41" s="440"/>
      <c r="M41" s="560">
        <f>IF(OR(B41="",D41=""),0,H41+(I$6-B41))</f>
        <v>0</v>
      </c>
      <c r="N41" s="561">
        <f>IF(D41="",0,VLOOKUP(M41,Faktoren!$B$16:$D$55,2)/1000)</f>
        <v>0</v>
      </c>
    </row>
    <row r="42" spans="2:16" ht="13.5" thickBot="1">
      <c r="B42" s="489"/>
      <c r="C42" s="569">
        <f t="shared" si="3"/>
        <v>1900</v>
      </c>
      <c r="D42" s="492"/>
      <c r="E42" s="437" t="str">
        <f>Textes!A289</f>
        <v>5. Schlachtung</v>
      </c>
      <c r="F42" s="492"/>
      <c r="G42" s="437">
        <f>IF(D37-D38-D39-D40-D41-D42&gt;0,D37-D38-D39-D40-D41-D42,0)</f>
        <v>0</v>
      </c>
      <c r="H42" s="437">
        <f>IF(AND(D42&gt;0,B42&gt;0),B42-B37+1,0)</f>
        <v>0</v>
      </c>
      <c r="I42" s="441">
        <f>IF(H42&gt;0,IF(H42&gt;Faktoren!$D$5,Faktoren!$E$4,Faktoren!$E$5),0)</f>
        <v>0</v>
      </c>
      <c r="J42" s="439">
        <f>IF(H42&gt;0,D42*I42,0)</f>
        <v>0</v>
      </c>
      <c r="K42" s="437"/>
      <c r="L42" s="440"/>
      <c r="M42" s="560">
        <f>IF(OR(B42="",D42=""),0,H42+(I$6-B42))</f>
        <v>0</v>
      </c>
      <c r="N42" s="561">
        <f>IF(D42="",0,VLOOKUP(M42,Faktoren!$B$16:$D$55,2)/1000)</f>
        <v>0</v>
      </c>
    </row>
    <row r="43" spans="2:16" ht="13.5" thickBot="1">
      <c r="B43" s="482" t="str">
        <f>E43</f>
        <v>Abgänge</v>
      </c>
      <c r="C43" s="442"/>
      <c r="D43" s="437">
        <f>+D37-SUM(D38:D42)</f>
        <v>0</v>
      </c>
      <c r="E43" s="437" t="str">
        <f>Textes!A290</f>
        <v>Abgänge</v>
      </c>
      <c r="F43" s="492">
        <f>D43*0.6</f>
        <v>0</v>
      </c>
      <c r="G43" s="437"/>
      <c r="H43" s="437"/>
      <c r="I43" s="438">
        <f>IF(D43&gt;0,Faktoren!$E$7,0)</f>
        <v>0</v>
      </c>
      <c r="J43" s="439">
        <f>IF(D43&gt;0,D43*I43,0)</f>
        <v>0</v>
      </c>
      <c r="K43" s="443">
        <f>SUM(J38:J43)</f>
        <v>0</v>
      </c>
      <c r="L43" s="440"/>
      <c r="M43" s="560">
        <f>IF(MAX(B37:B42)&lt;$I$6,0,VLOOKUP($I$6,B37:G42,6))</f>
        <v>0</v>
      </c>
      <c r="O43" s="557">
        <f>MAX(B37:B42)</f>
        <v>0</v>
      </c>
      <c r="P43" s="553">
        <f>IF(OR($F$6="",I$6="",O43&lt;F$6),99,IF(AND(O43&gt;F$6,O43&lt;I$6),0,1))</f>
        <v>99</v>
      </c>
    </row>
    <row r="44" spans="2:16">
      <c r="B44" s="444"/>
      <c r="C44" s="439"/>
      <c r="D44" s="439">
        <f>IF(D37&gt;0,ROUND(+D43/D37*100,1),0)</f>
        <v>0</v>
      </c>
      <c r="E44" s="437" t="str">
        <f>Textes!A291</f>
        <v>Abgänge in %</v>
      </c>
      <c r="F44" s="437"/>
      <c r="G44" s="445" t="s">
        <v>830</v>
      </c>
      <c r="H44" s="437">
        <f>MAX(H37:H42)</f>
        <v>0</v>
      </c>
      <c r="I44" s="438" t="str">
        <f>Textes!A293</f>
        <v>Tage Stall belegt</v>
      </c>
      <c r="J44" s="439"/>
      <c r="K44" s="437"/>
      <c r="L44" s="440"/>
      <c r="N44" s="553">
        <f>IF(P43=1,$I$6-B37+1,H44)</f>
        <v>0</v>
      </c>
    </row>
    <row r="45" spans="2:16">
      <c r="B45" s="451"/>
      <c r="C45" s="452"/>
      <c r="D45" s="558">
        <f>IF(P43=99,0,IF(P43=0,H44/MAX(H38:H42),IF(P43=1,(H44-(O43-$I$6))/H44,0)))</f>
        <v>0</v>
      </c>
      <c r="E45" s="448" t="str">
        <f>Textes!A292</f>
        <v>Umtriebe</v>
      </c>
      <c r="F45" s="448"/>
      <c r="G45" s="447"/>
      <c r="H45" s="448">
        <f>IF(B47&lt;&gt;0,(B47-O43),0)</f>
        <v>0</v>
      </c>
      <c r="I45" s="438" t="str">
        <f>Textes!A294</f>
        <v>Tage Stall leer</v>
      </c>
      <c r="J45" s="447"/>
      <c r="K45" s="448"/>
      <c r="L45" s="450"/>
    </row>
    <row r="46" spans="2:16" ht="13.5" thickBot="1">
      <c r="B46" s="431" t="str">
        <f>Textes!A275</f>
        <v>Umtrieb 4</v>
      </c>
      <c r="C46" s="432"/>
      <c r="D46" s="433"/>
      <c r="E46" s="433"/>
      <c r="F46" s="433"/>
      <c r="G46" s="433"/>
      <c r="H46" s="433"/>
      <c r="I46" s="434"/>
      <c r="J46" s="435"/>
      <c r="K46" s="433"/>
      <c r="L46" s="436"/>
    </row>
    <row r="47" spans="2:16" ht="13.5" thickBot="1">
      <c r="B47" s="489"/>
      <c r="C47" s="569">
        <f t="shared" ref="C47:C52" si="4">YEAR(B47)</f>
        <v>1900</v>
      </c>
      <c r="D47" s="490"/>
      <c r="E47" s="437" t="str">
        <f>Textes!A284</f>
        <v>Einstallung</v>
      </c>
      <c r="F47" s="551">
        <f>D47*0.04</f>
        <v>0</v>
      </c>
      <c r="G47" s="437">
        <f>IF(D47&gt;0,D47,0)</f>
        <v>0</v>
      </c>
      <c r="H47" s="437"/>
      <c r="I47" s="438"/>
      <c r="J47" s="439"/>
      <c r="K47" s="437"/>
      <c r="L47" s="440"/>
      <c r="M47" s="560">
        <f>IF(OR(B47="",D47=""),0,IF((I$6-B47)=0,1,H47+(I$6-B47)))</f>
        <v>0</v>
      </c>
      <c r="N47" s="561">
        <f>IF(D47="",0,VLOOKUP(M47,Faktoren!$B$16:$D$55,2)/1000)</f>
        <v>0</v>
      </c>
    </row>
    <row r="48" spans="2:16">
      <c r="B48" s="489"/>
      <c r="C48" s="569">
        <f t="shared" si="4"/>
        <v>1900</v>
      </c>
      <c r="D48" s="491"/>
      <c r="E48" s="437" t="str">
        <f>Textes!A285</f>
        <v>1. Schlachtung</v>
      </c>
      <c r="F48" s="491"/>
      <c r="G48" s="437">
        <f>IF(D47-D48&gt;0,D47-D48,0)</f>
        <v>0</v>
      </c>
      <c r="H48" s="437">
        <f>IF(AND(D48&gt;0,B48&gt;0),B48-B47+1,0)</f>
        <v>0</v>
      </c>
      <c r="I48" s="441">
        <f>IF(H48&gt;0,IF(H48&gt;Faktoren!$D$5,Faktoren!$E$4,Faktoren!$E$5),0)</f>
        <v>0</v>
      </c>
      <c r="J48" s="439">
        <f>IF(H48&gt;0,D48*I48,0)</f>
        <v>0</v>
      </c>
      <c r="K48" s="437"/>
      <c r="L48" s="440"/>
      <c r="M48" s="560">
        <f>IF(OR(B48="",D48=""),0,H48+(I$6-B48))</f>
        <v>0</v>
      </c>
      <c r="N48" s="561">
        <f>IF(D48="",0,VLOOKUP(M48,Faktoren!$B$16:$D$55,2)/1000)</f>
        <v>0</v>
      </c>
    </row>
    <row r="49" spans="2:16">
      <c r="B49" s="489"/>
      <c r="C49" s="569">
        <f t="shared" si="4"/>
        <v>1900</v>
      </c>
      <c r="D49" s="492"/>
      <c r="E49" s="437" t="str">
        <f>Textes!A286</f>
        <v>2. Schlachtung</v>
      </c>
      <c r="F49" s="492"/>
      <c r="G49" s="437">
        <f>IF(D47-D48-D49&gt;0,D47-D48-D49,0)</f>
        <v>0</v>
      </c>
      <c r="H49" s="437">
        <f>IF(AND(D49&gt;0,B49&gt;0),B49-B47+1,0)</f>
        <v>0</v>
      </c>
      <c r="I49" s="441">
        <f>IF(H49&gt;0,IF(H49&gt;Faktoren!$D$5,Faktoren!$E$4,Faktoren!$E$5),0)</f>
        <v>0</v>
      </c>
      <c r="J49" s="439">
        <f>IF(H49&gt;0,D49*I49,0)</f>
        <v>0</v>
      </c>
      <c r="K49" s="437"/>
      <c r="L49" s="440"/>
      <c r="M49" s="560">
        <f>IF(OR(B49="",D49=""),0,H49+(I$6-B49))</f>
        <v>0</v>
      </c>
      <c r="N49" s="561">
        <f>IF(D49="",0,VLOOKUP(M49,Faktoren!$B$16:$D$55,2)/1000)</f>
        <v>0</v>
      </c>
    </row>
    <row r="50" spans="2:16">
      <c r="B50" s="489"/>
      <c r="C50" s="569">
        <f t="shared" si="4"/>
        <v>1900</v>
      </c>
      <c r="D50" s="492"/>
      <c r="E50" s="437" t="str">
        <f>Textes!A287</f>
        <v>3. Schlachtung</v>
      </c>
      <c r="F50" s="492"/>
      <c r="G50" s="437">
        <f>IF(D47-D48-D49-D50&gt;0,D47-D48-D49-D50,0)</f>
        <v>0</v>
      </c>
      <c r="H50" s="437">
        <f>IF(AND(D50&gt;0,B50&gt;0),B50-B47+1,0)</f>
        <v>0</v>
      </c>
      <c r="I50" s="441">
        <f>IF(H50&gt;0,IF(H50&gt;Faktoren!$D$5,Faktoren!$E$4,Faktoren!$E$5),0)</f>
        <v>0</v>
      </c>
      <c r="J50" s="439">
        <f>IF(H50&gt;0,D50*I50,0)</f>
        <v>0</v>
      </c>
      <c r="K50" s="437"/>
      <c r="L50" s="440"/>
      <c r="M50" s="560">
        <f>IF(OR(B50="",D50=""),0,H50+(I$6-B50))</f>
        <v>0</v>
      </c>
      <c r="N50" s="561">
        <f>IF(D50="",0,VLOOKUP(M50,Faktoren!$B$16:$D$55,2)/1000)</f>
        <v>0</v>
      </c>
    </row>
    <row r="51" spans="2:16">
      <c r="B51" s="489"/>
      <c r="C51" s="569">
        <f t="shared" si="4"/>
        <v>1900</v>
      </c>
      <c r="D51" s="492"/>
      <c r="E51" s="437" t="str">
        <f>Textes!A288</f>
        <v>4. Schlachtung</v>
      </c>
      <c r="F51" s="492"/>
      <c r="G51" s="437">
        <f>IF(D47-D48-D49-D50-D51&gt;0,D47-D48-D49-D50-D51,0)</f>
        <v>0</v>
      </c>
      <c r="H51" s="437">
        <f>IF(AND(D51&gt;0,B51&gt;0),B51-B47+1,0)</f>
        <v>0</v>
      </c>
      <c r="I51" s="441">
        <f>IF(H51&gt;0,IF(H51&gt;Faktoren!$D$5,Faktoren!$E$4,Faktoren!$E$5),0)</f>
        <v>0</v>
      </c>
      <c r="J51" s="439">
        <f>IF(H51&gt;0,D51*I51,0)</f>
        <v>0</v>
      </c>
      <c r="K51" s="437"/>
      <c r="L51" s="440"/>
      <c r="M51" s="560">
        <f>IF(OR(B51="",D51=""),0,H51+(I$6-B51))</f>
        <v>0</v>
      </c>
      <c r="N51" s="561">
        <f>IF(D51="",0,VLOOKUP(M51,Faktoren!$B$16:$D$55,2)/1000)</f>
        <v>0</v>
      </c>
    </row>
    <row r="52" spans="2:16" ht="13.5" thickBot="1">
      <c r="B52" s="489"/>
      <c r="C52" s="569">
        <f t="shared" si="4"/>
        <v>1900</v>
      </c>
      <c r="D52" s="492"/>
      <c r="E52" s="437" t="str">
        <f>Textes!A289</f>
        <v>5. Schlachtung</v>
      </c>
      <c r="F52" s="492"/>
      <c r="G52" s="437">
        <f>IF(D47-D48-D49-D50-D51-D52&gt;0,D47-D48-D49-D50-D51-D52,0)</f>
        <v>0</v>
      </c>
      <c r="H52" s="437">
        <f>IF(AND(D52&gt;0,B52&gt;0),B52-B47+1,0)</f>
        <v>0</v>
      </c>
      <c r="I52" s="441">
        <f>IF(H52&gt;0,IF(H52&gt;Faktoren!$D$5,Faktoren!$E$4,Faktoren!$E$5),0)</f>
        <v>0</v>
      </c>
      <c r="J52" s="439">
        <f>IF(H52&gt;0,D52*I52,0)</f>
        <v>0</v>
      </c>
      <c r="K52" s="437"/>
      <c r="L52" s="440"/>
      <c r="M52" s="560">
        <f>IF(OR(B52="",D52=""),0,H52+(I$6-B52))</f>
        <v>0</v>
      </c>
      <c r="N52" s="561">
        <f>IF(D52="",0,VLOOKUP(M52,Faktoren!$B$16:$D$55,2)/1000)</f>
        <v>0</v>
      </c>
    </row>
    <row r="53" spans="2:16" ht="13.5" thickBot="1">
      <c r="B53" s="482" t="str">
        <f>E53</f>
        <v>Abgänge</v>
      </c>
      <c r="C53" s="442"/>
      <c r="D53" s="437">
        <f>+D47-SUM(D48:D52)</f>
        <v>0</v>
      </c>
      <c r="E53" s="437" t="str">
        <f>Textes!A290</f>
        <v>Abgänge</v>
      </c>
      <c r="F53" s="492">
        <f>D53*0.6</f>
        <v>0</v>
      </c>
      <c r="G53" s="437"/>
      <c r="H53" s="437"/>
      <c r="I53" s="438">
        <f>IF(D53&gt;0,Faktoren!$E$7,0)</f>
        <v>0</v>
      </c>
      <c r="J53" s="439">
        <f>IF(D53&gt;0,D53*I53,0)</f>
        <v>0</v>
      </c>
      <c r="K53" s="443">
        <f>SUM(J48:J53)</f>
        <v>0</v>
      </c>
      <c r="L53" s="440"/>
      <c r="M53" s="560">
        <f>IF(MAX(B47:B52)&lt;$I$6,0,VLOOKUP($I$6,B47:G52,6))</f>
        <v>0</v>
      </c>
      <c r="O53" s="557">
        <f>MAX(B47:B52)</f>
        <v>0</v>
      </c>
      <c r="P53" s="553">
        <f>IF(OR($F$6="",I$6="",O53&lt;F$6),99,IF(AND(O53&gt;F$6,O53&lt;I$6),0,1))</f>
        <v>99</v>
      </c>
    </row>
    <row r="54" spans="2:16">
      <c r="B54" s="444"/>
      <c r="C54" s="439"/>
      <c r="D54" s="439">
        <f>IF(D47&gt;0,ROUND(+D53/D47*100,1),0)</f>
        <v>0</v>
      </c>
      <c r="E54" s="437" t="str">
        <f>Textes!A291</f>
        <v>Abgänge in %</v>
      </c>
      <c r="F54" s="437"/>
      <c r="G54" s="445" t="s">
        <v>830</v>
      </c>
      <c r="H54" s="437">
        <f>MAX(H47:H52)</f>
        <v>0</v>
      </c>
      <c r="I54" s="438" t="str">
        <f>Textes!A293</f>
        <v>Tage Stall belegt</v>
      </c>
      <c r="J54" s="439"/>
      <c r="K54" s="437"/>
      <c r="L54" s="440"/>
      <c r="N54" s="553">
        <f>IF(P53=1,$I$6-B47+1,H54)</f>
        <v>0</v>
      </c>
    </row>
    <row r="55" spans="2:16">
      <c r="B55" s="451"/>
      <c r="C55" s="452"/>
      <c r="D55" s="558">
        <f>IF(P53=99,0,IF(P53=0,H54/MAX(H48:H52),IF(P53=1,(H54-(O53-$I$6))/H54,0)))</f>
        <v>0</v>
      </c>
      <c r="E55" s="448" t="str">
        <f>Textes!A292</f>
        <v>Umtriebe</v>
      </c>
      <c r="F55" s="448"/>
      <c r="G55" s="447"/>
      <c r="H55" s="448">
        <f>IF(B57&lt;&gt;0,(B57-O53),0)</f>
        <v>0</v>
      </c>
      <c r="I55" s="438" t="str">
        <f>Textes!A294</f>
        <v>Tage Stall leer</v>
      </c>
      <c r="J55" s="447"/>
      <c r="K55" s="448"/>
      <c r="L55" s="450"/>
    </row>
    <row r="56" spans="2:16" ht="13.5" thickBot="1">
      <c r="B56" s="431" t="str">
        <f>Textes!A276</f>
        <v>Umtrieb 5</v>
      </c>
      <c r="C56" s="432"/>
      <c r="D56" s="433"/>
      <c r="E56" s="433"/>
      <c r="F56" s="433"/>
      <c r="G56" s="433"/>
      <c r="H56" s="433"/>
      <c r="I56" s="434"/>
      <c r="J56" s="435"/>
      <c r="K56" s="433"/>
      <c r="L56" s="436"/>
    </row>
    <row r="57" spans="2:16" ht="13.5" thickBot="1">
      <c r="B57" s="489"/>
      <c r="C57" s="569">
        <f t="shared" ref="C57:C62" si="5">YEAR(B57)</f>
        <v>1900</v>
      </c>
      <c r="D57" s="490"/>
      <c r="E57" s="437" t="str">
        <f>Textes!A284</f>
        <v>Einstallung</v>
      </c>
      <c r="F57" s="551">
        <f>D57*0.04</f>
        <v>0</v>
      </c>
      <c r="G57" s="437">
        <f>IF(D57&gt;0,D57,0)</f>
        <v>0</v>
      </c>
      <c r="H57" s="437"/>
      <c r="I57" s="438"/>
      <c r="J57" s="439"/>
      <c r="K57" s="437"/>
      <c r="L57" s="440"/>
      <c r="M57" s="560">
        <f>IF(OR(B57="",D57=""),0,IF((I$6-B57)=0,1,H57+(I$6-B57)))</f>
        <v>0</v>
      </c>
      <c r="N57" s="561">
        <f>IF(D57="",0,VLOOKUP(M57,Faktoren!$B$16:$D$55,2)/1000)</f>
        <v>0</v>
      </c>
    </row>
    <row r="58" spans="2:16">
      <c r="B58" s="489"/>
      <c r="C58" s="569">
        <f t="shared" si="5"/>
        <v>1900</v>
      </c>
      <c r="D58" s="491"/>
      <c r="E58" s="437" t="str">
        <f>Textes!A285</f>
        <v>1. Schlachtung</v>
      </c>
      <c r="F58" s="491"/>
      <c r="G58" s="437">
        <f>IF(D57-D58&gt;0,D57-D58,0)</f>
        <v>0</v>
      </c>
      <c r="H58" s="437">
        <f>IF(AND(D58&gt;0,B58&gt;0),B58-B57+1,0)</f>
        <v>0</v>
      </c>
      <c r="I58" s="441">
        <f>IF(H58&gt;0,IF(H58&gt;Faktoren!$D$5,Faktoren!$E$4,Faktoren!$E$5),0)</f>
        <v>0</v>
      </c>
      <c r="J58" s="439">
        <f>IF(H58&gt;0,D58*I58,0)</f>
        <v>0</v>
      </c>
      <c r="K58" s="437"/>
      <c r="L58" s="440"/>
      <c r="M58" s="560">
        <f>IF(OR(B58="",D58=""),0,H58+(I$6-B58))</f>
        <v>0</v>
      </c>
      <c r="N58" s="561">
        <f>IF(D58="",0,VLOOKUP(M58,Faktoren!$B$16:$D$55,2)/1000)</f>
        <v>0</v>
      </c>
    </row>
    <row r="59" spans="2:16">
      <c r="B59" s="489"/>
      <c r="C59" s="569">
        <f t="shared" si="5"/>
        <v>1900</v>
      </c>
      <c r="D59" s="492"/>
      <c r="E59" s="437" t="str">
        <f>Textes!A286</f>
        <v>2. Schlachtung</v>
      </c>
      <c r="F59" s="492"/>
      <c r="G59" s="437">
        <f>IF(D57-D58-D59&gt;0,D57-D58-D59,0)</f>
        <v>0</v>
      </c>
      <c r="H59" s="437">
        <f>IF(AND(D59&gt;0,B59&gt;0),B59-B57+1,0)</f>
        <v>0</v>
      </c>
      <c r="I59" s="441">
        <f>IF(H59&gt;0,IF(H59&gt;Faktoren!$D$5,Faktoren!$E$4,Faktoren!$E$5),0)</f>
        <v>0</v>
      </c>
      <c r="J59" s="439">
        <f>IF(H59&gt;0,D59*I59,0)</f>
        <v>0</v>
      </c>
      <c r="K59" s="437"/>
      <c r="L59" s="440"/>
      <c r="M59" s="560">
        <f>IF(OR(B59="",D59=""),0,H59+(I$6-B59))</f>
        <v>0</v>
      </c>
      <c r="N59" s="561">
        <f>IF(D59="",0,VLOOKUP(M59,Faktoren!$B$16:$D$55,2)/1000)</f>
        <v>0</v>
      </c>
    </row>
    <row r="60" spans="2:16">
      <c r="B60" s="489"/>
      <c r="C60" s="569">
        <f t="shared" si="5"/>
        <v>1900</v>
      </c>
      <c r="D60" s="492"/>
      <c r="E60" s="437" t="str">
        <f>Textes!A287</f>
        <v>3. Schlachtung</v>
      </c>
      <c r="F60" s="492"/>
      <c r="G60" s="437">
        <f>IF(D57-D58-D59-D60&gt;0,D57-D58-D59-D60,0)</f>
        <v>0</v>
      </c>
      <c r="H60" s="437">
        <f>IF(AND(D60&gt;0,B60&gt;0),B60-B57+1,0)</f>
        <v>0</v>
      </c>
      <c r="I60" s="441">
        <f>IF(H60&gt;0,IF(H60&gt;Faktoren!$D$5,Faktoren!$E$4,Faktoren!$E$5),0)</f>
        <v>0</v>
      </c>
      <c r="J60" s="439">
        <f>IF(H60&gt;0,D60*I60,0)</f>
        <v>0</v>
      </c>
      <c r="K60" s="437"/>
      <c r="L60" s="440"/>
      <c r="M60" s="560">
        <f>IF(OR(B60="",D60=""),0,H60+(I$6-B60))</f>
        <v>0</v>
      </c>
      <c r="N60" s="561">
        <f>IF(D60="",0,VLOOKUP(M60,Faktoren!$B$16:$D$55,2)/1000)</f>
        <v>0</v>
      </c>
    </row>
    <row r="61" spans="2:16">
      <c r="B61" s="489"/>
      <c r="C61" s="569">
        <f t="shared" si="5"/>
        <v>1900</v>
      </c>
      <c r="D61" s="492"/>
      <c r="E61" s="437" t="str">
        <f>Textes!A288</f>
        <v>4. Schlachtung</v>
      </c>
      <c r="F61" s="492"/>
      <c r="G61" s="437">
        <f>IF(D57-D58-D59-D60-D61&gt;0,D57-D58-D59-D60-D61,0)</f>
        <v>0</v>
      </c>
      <c r="H61" s="437">
        <f>IF(AND(D61&gt;0,B61&gt;0),B61-B57+1,0)</f>
        <v>0</v>
      </c>
      <c r="I61" s="441">
        <f>IF(H61&gt;0,IF(H61&gt;Faktoren!$D$5,Faktoren!$E$4,Faktoren!$E$5),0)</f>
        <v>0</v>
      </c>
      <c r="J61" s="439">
        <f>IF(H61&gt;0,D61*I61,0)</f>
        <v>0</v>
      </c>
      <c r="K61" s="437"/>
      <c r="L61" s="440"/>
      <c r="M61" s="560">
        <f>IF(OR(B61="",D61=""),0,H61+(I$6-B61))</f>
        <v>0</v>
      </c>
      <c r="N61" s="561">
        <f>IF(D61="",0,VLOOKUP(M61,Faktoren!$B$16:$D$55,2)/1000)</f>
        <v>0</v>
      </c>
    </row>
    <row r="62" spans="2:16" ht="13.5" thickBot="1">
      <c r="B62" s="489"/>
      <c r="C62" s="569">
        <f t="shared" si="5"/>
        <v>1900</v>
      </c>
      <c r="D62" s="492"/>
      <c r="E62" s="437" t="str">
        <f>Textes!A289</f>
        <v>5. Schlachtung</v>
      </c>
      <c r="F62" s="492"/>
      <c r="G62" s="437">
        <f>IF(D57-D58-D59-D60-D61-D62&gt;0,D57-D58-D59-D60-D61-D62,0)</f>
        <v>0</v>
      </c>
      <c r="H62" s="437">
        <f>IF(AND(D62&gt;0,B62&gt;0),B62-B57+1,0)</f>
        <v>0</v>
      </c>
      <c r="I62" s="441">
        <f>IF(H62&gt;0,IF(H62&gt;Faktoren!$D$5,Faktoren!$E$4,Faktoren!$E$5),0)</f>
        <v>0</v>
      </c>
      <c r="J62" s="439">
        <f>IF(H62&gt;0,D62*I62,0)</f>
        <v>0</v>
      </c>
      <c r="K62" s="437"/>
      <c r="L62" s="440"/>
      <c r="M62" s="560">
        <f>IF(OR(B62="",D62=""),0,H62+(I$6-B62))</f>
        <v>0</v>
      </c>
      <c r="N62" s="561">
        <f>IF(D62="",0,VLOOKUP(M62,Faktoren!$B$16:$D$55,2)/1000)</f>
        <v>0</v>
      </c>
      <c r="O62" s="555"/>
    </row>
    <row r="63" spans="2:16" ht="13.5" thickBot="1">
      <c r="B63" s="482" t="str">
        <f>E63</f>
        <v>Abgänge</v>
      </c>
      <c r="C63" s="442"/>
      <c r="D63" s="437">
        <f>+D57-SUM(D58:D62)</f>
        <v>0</v>
      </c>
      <c r="E63" s="437" t="str">
        <f>Textes!A290</f>
        <v>Abgänge</v>
      </c>
      <c r="F63" s="492">
        <f>D63*0.6</f>
        <v>0</v>
      </c>
      <c r="G63" s="437"/>
      <c r="H63" s="437"/>
      <c r="I63" s="438">
        <f>IF(D63&gt;0,Faktoren!$E$7,0)</f>
        <v>0</v>
      </c>
      <c r="J63" s="439">
        <f>IF(D63&gt;0,D63*I63,0)</f>
        <v>0</v>
      </c>
      <c r="K63" s="443">
        <f>SUM(J58:J63)</f>
        <v>0</v>
      </c>
      <c r="L63" s="440"/>
      <c r="M63" s="560">
        <f>IF(MAX(B57:B62)&lt;$I$6,0,VLOOKUP($I$6,B57:G62,6))</f>
        <v>0</v>
      </c>
      <c r="O63" s="557">
        <f>MAX(B57:B62)</f>
        <v>0</v>
      </c>
      <c r="P63" s="553">
        <f>IF(OR($F$6="",I$6="",O63&lt;F$6),99,IF(AND(O63&gt;F$6,O63&lt;I$6),0,1))</f>
        <v>99</v>
      </c>
    </row>
    <row r="64" spans="2:16">
      <c r="B64" s="444"/>
      <c r="C64" s="439"/>
      <c r="D64" s="439">
        <f>IF(D57&gt;0,ROUND(+D63/D57*100,1),0)</f>
        <v>0</v>
      </c>
      <c r="E64" s="437" t="str">
        <f>Textes!A291</f>
        <v>Abgänge in %</v>
      </c>
      <c r="F64" s="437"/>
      <c r="G64" s="445" t="s">
        <v>830</v>
      </c>
      <c r="H64" s="437">
        <f>MAX(H57:H62)</f>
        <v>0</v>
      </c>
      <c r="I64" s="438" t="str">
        <f>Textes!A293</f>
        <v>Tage Stall belegt</v>
      </c>
      <c r="J64" s="439"/>
      <c r="K64" s="437"/>
      <c r="L64" s="440"/>
      <c r="N64" s="553">
        <f>IF(P63=1,$I$6-B57+1,H64)</f>
        <v>0</v>
      </c>
    </row>
    <row r="65" spans="2:16">
      <c r="B65" s="451"/>
      <c r="C65" s="452"/>
      <c r="D65" s="558">
        <f>IF(P63=99,0,IF(P63=0,H64/MAX(H58:H62),IF(P63=1,(H64-(O63-$I$6))/H64,0)))</f>
        <v>0</v>
      </c>
      <c r="E65" s="448" t="str">
        <f>Textes!A292</f>
        <v>Umtriebe</v>
      </c>
      <c r="F65" s="448"/>
      <c r="G65" s="447"/>
      <c r="H65" s="448">
        <f>IF(B69&lt;&gt;0,(B69-O63),0)</f>
        <v>0</v>
      </c>
      <c r="I65" s="449" t="str">
        <f>Textes!A294</f>
        <v>Tage Stall leer</v>
      </c>
      <c r="J65" s="447"/>
      <c r="K65" s="448"/>
      <c r="L65" s="450"/>
    </row>
    <row r="66" spans="2:16">
      <c r="B66" s="442" t="str">
        <f>Textes!A251</f>
        <v>Stall 1</v>
      </c>
      <c r="C66" s="442"/>
      <c r="D66" s="437"/>
      <c r="E66" s="437"/>
      <c r="F66" s="437"/>
      <c r="G66" s="439"/>
      <c r="H66" s="437"/>
      <c r="I66" s="438"/>
      <c r="J66" s="439"/>
      <c r="K66" s="445" t="str">
        <f>Textes!A314</f>
        <v>Seite 2</v>
      </c>
      <c r="L66" s="437"/>
    </row>
    <row r="67" spans="2:16">
      <c r="B67" s="442"/>
      <c r="C67" s="442"/>
      <c r="D67" s="437"/>
      <c r="E67" s="437"/>
      <c r="F67" s="437"/>
      <c r="G67" s="439"/>
      <c r="H67" s="437"/>
      <c r="I67" s="438"/>
      <c r="J67" s="439"/>
      <c r="K67" s="437"/>
      <c r="L67" s="437"/>
    </row>
    <row r="68" spans="2:16" ht="13.5" thickBot="1">
      <c r="B68" s="431" t="str">
        <f>Textes!A277</f>
        <v>Umtrieb 6</v>
      </c>
      <c r="C68" s="432"/>
      <c r="D68" s="433"/>
      <c r="E68" s="433"/>
      <c r="F68" s="433"/>
      <c r="G68" s="433"/>
      <c r="H68" s="433"/>
      <c r="I68" s="434"/>
      <c r="J68" s="435"/>
      <c r="K68" s="433"/>
      <c r="L68" s="436"/>
    </row>
    <row r="69" spans="2:16" ht="13.5" thickBot="1">
      <c r="B69" s="489"/>
      <c r="C69" s="569">
        <f t="shared" ref="C69:C74" si="6">YEAR(B69)</f>
        <v>1900</v>
      </c>
      <c r="D69" s="490"/>
      <c r="E69" s="437" t="str">
        <f>Textes!A284</f>
        <v>Einstallung</v>
      </c>
      <c r="F69" s="551">
        <f>D69*0.04</f>
        <v>0</v>
      </c>
      <c r="G69" s="437">
        <f>IF(D69&gt;0,D69,0)</f>
        <v>0</v>
      </c>
      <c r="H69" s="437"/>
      <c r="I69" s="438"/>
      <c r="J69" s="439"/>
      <c r="K69" s="437"/>
      <c r="L69" s="440"/>
      <c r="M69" s="560">
        <f>IF(OR(B69="",D69=""),0,IF((I$6-B69)=0,1,H69+(I$6-B69)))</f>
        <v>0</v>
      </c>
      <c r="N69" s="561">
        <f>IF(D69="",0,VLOOKUP(M69,Faktoren!$B$16:$D$55,2)/1000)</f>
        <v>0</v>
      </c>
    </row>
    <row r="70" spans="2:16">
      <c r="B70" s="489"/>
      <c r="C70" s="569">
        <f t="shared" si="6"/>
        <v>1900</v>
      </c>
      <c r="D70" s="491"/>
      <c r="E70" s="437" t="str">
        <f>Textes!A285</f>
        <v>1. Schlachtung</v>
      </c>
      <c r="F70" s="491"/>
      <c r="G70" s="437">
        <f>IF(D69-D70&gt;0,D69-D70,0)</f>
        <v>0</v>
      </c>
      <c r="H70" s="437">
        <f>IF(AND(D70&gt;0,B70&gt;0),B70-B69+1,0)</f>
        <v>0</v>
      </c>
      <c r="I70" s="441">
        <f>IF(H70&gt;0,IF(H70&gt;Faktoren!$D$5,Faktoren!$E$4,Faktoren!$E$5),0)</f>
        <v>0</v>
      </c>
      <c r="J70" s="439">
        <f>IF(H70&gt;0,D70*I70,0)</f>
        <v>0</v>
      </c>
      <c r="K70" s="437"/>
      <c r="L70" s="440"/>
      <c r="M70" s="560">
        <f>IF(OR(B70="",D70=""),0,H70+(I$6-B70))</f>
        <v>0</v>
      </c>
      <c r="N70" s="561">
        <f>IF(D70="",0,VLOOKUP(M70,Faktoren!$B$16:$D$55,2)/1000)</f>
        <v>0</v>
      </c>
    </row>
    <row r="71" spans="2:16">
      <c r="B71" s="489"/>
      <c r="C71" s="569">
        <f t="shared" si="6"/>
        <v>1900</v>
      </c>
      <c r="D71" s="492"/>
      <c r="E71" s="437" t="str">
        <f>Textes!A286</f>
        <v>2. Schlachtung</v>
      </c>
      <c r="F71" s="492"/>
      <c r="G71" s="437">
        <f>IF(D69-D70-D71&gt;0,D69-D70-D71,0)</f>
        <v>0</v>
      </c>
      <c r="H71" s="437">
        <f>IF(AND(D71&gt;0,B71&gt;0),B71-B69+1,0)</f>
        <v>0</v>
      </c>
      <c r="I71" s="441">
        <f>IF(H71&gt;0,IF(H71&gt;Faktoren!$D$5,Faktoren!$E$4,Faktoren!$E$5),0)</f>
        <v>0</v>
      </c>
      <c r="J71" s="439">
        <f>IF(H71&gt;0,D71*I71,0)</f>
        <v>0</v>
      </c>
      <c r="K71" s="437"/>
      <c r="L71" s="440"/>
      <c r="M71" s="560">
        <f>IF(OR(B71="",D71=""),0,H71+(I$6-B71))</f>
        <v>0</v>
      </c>
      <c r="N71" s="561">
        <f>IF(D71="",0,VLOOKUP(M71,Faktoren!$B$16:$D$55,2)/1000)</f>
        <v>0</v>
      </c>
    </row>
    <row r="72" spans="2:16">
      <c r="B72" s="489"/>
      <c r="C72" s="569">
        <f t="shared" si="6"/>
        <v>1900</v>
      </c>
      <c r="D72" s="492"/>
      <c r="E72" s="437" t="str">
        <f>Textes!A287</f>
        <v>3. Schlachtung</v>
      </c>
      <c r="F72" s="492"/>
      <c r="G72" s="437">
        <f>IF(D69-D70-D71-D72&gt;0,D69-D70-D71-D72,0)</f>
        <v>0</v>
      </c>
      <c r="H72" s="437">
        <f>IF(AND(D72&gt;0,B72&gt;0),B72-B69+1,0)</f>
        <v>0</v>
      </c>
      <c r="I72" s="441">
        <f>IF(H72&gt;0,IF(H72&gt;Faktoren!$D$5,Faktoren!$E$4,Faktoren!$E$5),0)</f>
        <v>0</v>
      </c>
      <c r="J72" s="439">
        <f>IF(H72&gt;0,D72*I72,0)</f>
        <v>0</v>
      </c>
      <c r="K72" s="437"/>
      <c r="L72" s="440"/>
      <c r="M72" s="560">
        <f>IF(OR(B72="",D72=""),0,H72+(I$6-B72))</f>
        <v>0</v>
      </c>
      <c r="N72" s="561">
        <f>IF(D72="",0,VLOOKUP(M72,Faktoren!$B$16:$D$55,2)/1000)</f>
        <v>0</v>
      </c>
    </row>
    <row r="73" spans="2:16">
      <c r="B73" s="489"/>
      <c r="C73" s="569">
        <f t="shared" si="6"/>
        <v>1900</v>
      </c>
      <c r="D73" s="492"/>
      <c r="E73" s="437" t="str">
        <f>Textes!A288</f>
        <v>4. Schlachtung</v>
      </c>
      <c r="F73" s="492"/>
      <c r="G73" s="437">
        <f>IF(D69-D70-D71-D72-D73&gt;0,D69-D70-D71-D72-D73,0)</f>
        <v>0</v>
      </c>
      <c r="H73" s="437">
        <f>IF(AND(D73&gt;0,B73&gt;0),B73-B69+1,0)</f>
        <v>0</v>
      </c>
      <c r="I73" s="441">
        <f>IF(H73&gt;0,IF(H73&gt;Faktoren!$D$5,Faktoren!$E$4,Faktoren!$E$5),0)</f>
        <v>0</v>
      </c>
      <c r="J73" s="439">
        <f>IF(H73&gt;0,D73*I73,0)</f>
        <v>0</v>
      </c>
      <c r="K73" s="437"/>
      <c r="L73" s="440"/>
      <c r="M73" s="560">
        <f>IF(OR(B73="",D73=""),0,H73+(I$6-B73))</f>
        <v>0</v>
      </c>
      <c r="N73" s="561">
        <f>IF(D73="",0,VLOOKUP(M73,Faktoren!$B$16:$D$55,2)/1000)</f>
        <v>0</v>
      </c>
    </row>
    <row r="74" spans="2:16" ht="13.5" thickBot="1">
      <c r="B74" s="489"/>
      <c r="C74" s="569">
        <f t="shared" si="6"/>
        <v>1900</v>
      </c>
      <c r="D74" s="492"/>
      <c r="E74" s="437" t="str">
        <f>Textes!A289</f>
        <v>5. Schlachtung</v>
      </c>
      <c r="F74" s="492"/>
      <c r="G74" s="437">
        <f>IF(D69-D70-D71-D72-D73-D74&gt;0,D69-D70-D71-D72-D73-D74,0)</f>
        <v>0</v>
      </c>
      <c r="H74" s="437">
        <f>IF(AND(D74&gt;0,B74&gt;0),B74-B69+1,0)</f>
        <v>0</v>
      </c>
      <c r="I74" s="441">
        <f>IF(H74&gt;0,IF(H74&gt;Faktoren!$D$5,Faktoren!$E$4,Faktoren!$E$5),0)</f>
        <v>0</v>
      </c>
      <c r="J74" s="439">
        <f>IF(H74&gt;0,D74*I74,0)</f>
        <v>0</v>
      </c>
      <c r="K74" s="437"/>
      <c r="L74" s="440"/>
      <c r="M74" s="560">
        <f>IF(OR(B74="",D74=""),0,H74+(I$6-B74))</f>
        <v>0</v>
      </c>
      <c r="N74" s="561">
        <f>IF(D74="",0,VLOOKUP(M74,Faktoren!$B$16:$D$55,2)/1000)</f>
        <v>0</v>
      </c>
    </row>
    <row r="75" spans="2:16" ht="13.5" thickBot="1">
      <c r="B75" s="482" t="str">
        <f>E75</f>
        <v>Abgänge</v>
      </c>
      <c r="C75" s="442"/>
      <c r="D75" s="437">
        <f>+D69-SUM(D70:D74)</f>
        <v>0</v>
      </c>
      <c r="E75" s="437" t="str">
        <f>Textes!A290</f>
        <v>Abgänge</v>
      </c>
      <c r="F75" s="492">
        <f>D75*0.6</f>
        <v>0</v>
      </c>
      <c r="G75" s="437"/>
      <c r="H75" s="437"/>
      <c r="I75" s="438">
        <f>IF(D75&gt;0,Faktoren!$E$7,0)</f>
        <v>0</v>
      </c>
      <c r="J75" s="439">
        <f>IF(D75&gt;0,D75*I75,0)</f>
        <v>0</v>
      </c>
      <c r="K75" s="443">
        <f>SUM(J70:J75)</f>
        <v>0</v>
      </c>
      <c r="L75" s="440"/>
      <c r="M75" s="560">
        <f>IF(MAX(B69:B74)&lt;$I$6,0,VLOOKUP($I$6,B69:G74,6))</f>
        <v>0</v>
      </c>
      <c r="O75" s="557">
        <f>MAX(B69:B74)</f>
        <v>0</v>
      </c>
      <c r="P75" s="553">
        <f>IF(OR($F$6="",I$6="",O75&lt;F$6),99,IF(AND(O75&gt;F$6,O75&lt;I$6),0,1))</f>
        <v>99</v>
      </c>
    </row>
    <row r="76" spans="2:16">
      <c r="B76" s="444"/>
      <c r="C76" s="439"/>
      <c r="D76" s="439">
        <f>IF(D69&gt;0,ROUND(+D75/D69*100,1),0)</f>
        <v>0</v>
      </c>
      <c r="E76" s="437" t="str">
        <f>Textes!A291</f>
        <v>Abgänge in %</v>
      </c>
      <c r="F76" s="437"/>
      <c r="G76" s="445" t="s">
        <v>830</v>
      </c>
      <c r="H76" s="437">
        <f>MAX(H69:H74)</f>
        <v>0</v>
      </c>
      <c r="I76" s="438" t="str">
        <f>Textes!A293</f>
        <v>Tage Stall belegt</v>
      </c>
      <c r="J76" s="439"/>
      <c r="K76" s="437"/>
      <c r="L76" s="440"/>
      <c r="N76" s="553">
        <f>IF(P75=1,$I$6-B69+1,H76)</f>
        <v>0</v>
      </c>
    </row>
    <row r="77" spans="2:16">
      <c r="B77" s="451"/>
      <c r="C77" s="452"/>
      <c r="D77" s="558">
        <f>IF(P75=99,0,IF(P75=0,H76/MAX(H70:H74),IF(P75=1,(H76-(O75-$I$6))/H76,0)))</f>
        <v>0</v>
      </c>
      <c r="E77" s="448" t="str">
        <f>Textes!A292</f>
        <v>Umtriebe</v>
      </c>
      <c r="F77" s="448"/>
      <c r="G77" s="447"/>
      <c r="H77" s="448">
        <f>IF(B79&lt;&gt;0,(B79-O75),0)</f>
        <v>0</v>
      </c>
      <c r="I77" s="438" t="str">
        <f>Textes!A294</f>
        <v>Tage Stall leer</v>
      </c>
      <c r="J77" s="447"/>
      <c r="K77" s="448"/>
      <c r="L77" s="450"/>
    </row>
    <row r="78" spans="2:16" ht="13.5" thickBot="1">
      <c r="B78" s="431" t="str">
        <f>Textes!A278</f>
        <v>Umtrieb 7</v>
      </c>
      <c r="C78" s="432"/>
      <c r="D78" s="433"/>
      <c r="E78" s="433"/>
      <c r="F78" s="433"/>
      <c r="G78" s="433"/>
      <c r="H78" s="433"/>
      <c r="I78" s="434"/>
      <c r="J78" s="435"/>
      <c r="K78" s="433"/>
      <c r="L78" s="436"/>
    </row>
    <row r="79" spans="2:16" ht="13.5" thickBot="1">
      <c r="B79" s="489"/>
      <c r="C79" s="569">
        <f t="shared" ref="C79:C84" si="7">YEAR(B79)</f>
        <v>1900</v>
      </c>
      <c r="D79" s="490"/>
      <c r="E79" s="437" t="str">
        <f>Textes!A284</f>
        <v>Einstallung</v>
      </c>
      <c r="F79" s="551">
        <f>D79*0.04</f>
        <v>0</v>
      </c>
      <c r="G79" s="437">
        <f>IF(D79&gt;0,D79,0)</f>
        <v>0</v>
      </c>
      <c r="H79" s="437"/>
      <c r="I79" s="438"/>
      <c r="J79" s="439"/>
      <c r="K79" s="437"/>
      <c r="L79" s="440"/>
      <c r="M79" s="560">
        <f>IF(OR(B79="",D79=""),0,IF((I$6-B79)=0,1,H79+(I$6-B79)))</f>
        <v>0</v>
      </c>
      <c r="N79" s="561">
        <f>IF(D79="",0,VLOOKUP(M79,Faktoren!$B$16:$D$55,2)/1000)</f>
        <v>0</v>
      </c>
    </row>
    <row r="80" spans="2:16">
      <c r="B80" s="489"/>
      <c r="C80" s="569">
        <f t="shared" si="7"/>
        <v>1900</v>
      </c>
      <c r="D80" s="491"/>
      <c r="E80" s="437" t="str">
        <f>Textes!A285</f>
        <v>1. Schlachtung</v>
      </c>
      <c r="F80" s="491"/>
      <c r="G80" s="437">
        <f>IF(D79-D80&gt;0,D79-D80,0)</f>
        <v>0</v>
      </c>
      <c r="H80" s="437">
        <f>IF(AND(D80&gt;0,B80&gt;0),B80-B79+1,0)</f>
        <v>0</v>
      </c>
      <c r="I80" s="441">
        <f>IF(H80&gt;0,IF(H80&gt;Faktoren!$D$5,Faktoren!$E$4,Faktoren!$E$5),0)</f>
        <v>0</v>
      </c>
      <c r="J80" s="439">
        <f>IF(H80&gt;0,D80*I80,0)</f>
        <v>0</v>
      </c>
      <c r="K80" s="437"/>
      <c r="L80" s="440"/>
      <c r="M80" s="560">
        <f>IF(OR(B80="",D80=""),0,H80+(I$6-B80))</f>
        <v>0</v>
      </c>
      <c r="N80" s="561">
        <f>IF(D80="",0,VLOOKUP(M80,Faktoren!$B$16:$D$55,2)/1000)</f>
        <v>0</v>
      </c>
    </row>
    <row r="81" spans="2:16">
      <c r="B81" s="489"/>
      <c r="C81" s="569">
        <f t="shared" si="7"/>
        <v>1900</v>
      </c>
      <c r="D81" s="492"/>
      <c r="E81" s="437" t="str">
        <f>Textes!A286</f>
        <v>2. Schlachtung</v>
      </c>
      <c r="F81" s="492"/>
      <c r="G81" s="437">
        <f>IF(D79-D80-D81&gt;0,D79-D80-D81,0)</f>
        <v>0</v>
      </c>
      <c r="H81" s="437">
        <f>IF(AND(D81&gt;0,B81&gt;0),B81-B79+1,0)</f>
        <v>0</v>
      </c>
      <c r="I81" s="441">
        <f>IF(H81&gt;0,IF(H81&gt;Faktoren!$D$5,Faktoren!$E$4,Faktoren!$E$5),0)</f>
        <v>0</v>
      </c>
      <c r="J81" s="439">
        <f>IF(H81&gt;0,D81*I81,0)</f>
        <v>0</v>
      </c>
      <c r="K81" s="437"/>
      <c r="L81" s="440"/>
      <c r="M81" s="560">
        <f>IF(OR(B81="",D81=""),0,H81+(I$6-B81))</f>
        <v>0</v>
      </c>
      <c r="N81" s="561">
        <f>IF(D81="",0,VLOOKUP(M81,Faktoren!$B$16:$D$55,2)/1000)</f>
        <v>0</v>
      </c>
    </row>
    <row r="82" spans="2:16">
      <c r="B82" s="489"/>
      <c r="C82" s="569">
        <f t="shared" si="7"/>
        <v>1900</v>
      </c>
      <c r="D82" s="492"/>
      <c r="E82" s="437" t="str">
        <f>Textes!A287</f>
        <v>3. Schlachtung</v>
      </c>
      <c r="F82" s="492"/>
      <c r="G82" s="437">
        <f>IF(D79-D80-D81-D82&gt;0,D79-D80-D81-D82,0)</f>
        <v>0</v>
      </c>
      <c r="H82" s="437">
        <f>IF(AND(D82&gt;0,B82&gt;0),B82-B79+1,0)</f>
        <v>0</v>
      </c>
      <c r="I82" s="441">
        <f>IF(H82&gt;0,IF(H82&gt;Faktoren!$D$5,Faktoren!$E$4,Faktoren!$E$5),0)</f>
        <v>0</v>
      </c>
      <c r="J82" s="439">
        <f>IF(H82&gt;0,D82*I82,0)</f>
        <v>0</v>
      </c>
      <c r="K82" s="437"/>
      <c r="L82" s="440"/>
      <c r="M82" s="560">
        <f>IF(OR(B82="",D82=""),0,H82+(I$6-B82))</f>
        <v>0</v>
      </c>
      <c r="N82" s="561">
        <f>IF(D82="",0,VLOOKUP(M82,Faktoren!$B$16:$D$55,2)/1000)</f>
        <v>0</v>
      </c>
    </row>
    <row r="83" spans="2:16">
      <c r="B83" s="489"/>
      <c r="C83" s="569">
        <f t="shared" si="7"/>
        <v>1900</v>
      </c>
      <c r="D83" s="492"/>
      <c r="E83" s="437" t="str">
        <f>Textes!A288</f>
        <v>4. Schlachtung</v>
      </c>
      <c r="F83" s="492"/>
      <c r="G83" s="437">
        <f>IF(D79-D80-D81-D82-D83&gt;0,D79-D80-D81-D82-D83,0)</f>
        <v>0</v>
      </c>
      <c r="H83" s="437">
        <f>IF(AND(D83&gt;0,B83&gt;0),B83-B79+1,0)</f>
        <v>0</v>
      </c>
      <c r="I83" s="441">
        <f>IF(H83&gt;0,IF(H83&gt;Faktoren!$D$5,Faktoren!$E$4,Faktoren!$E$5),0)</f>
        <v>0</v>
      </c>
      <c r="J83" s="439">
        <f>IF(H83&gt;0,D83*I83,0)</f>
        <v>0</v>
      </c>
      <c r="K83" s="437"/>
      <c r="L83" s="440"/>
      <c r="M83" s="560">
        <f>IF(OR(B83="",D83=""),0,H83+(I$6-B83))</f>
        <v>0</v>
      </c>
      <c r="N83" s="561">
        <f>IF(D83="",0,VLOOKUP(M83,Faktoren!$B$16:$D$55,2)/1000)</f>
        <v>0</v>
      </c>
    </row>
    <row r="84" spans="2:16" ht="13.5" thickBot="1">
      <c r="B84" s="489"/>
      <c r="C84" s="569">
        <f t="shared" si="7"/>
        <v>1900</v>
      </c>
      <c r="D84" s="492"/>
      <c r="E84" s="437" t="str">
        <f>Textes!A289</f>
        <v>5. Schlachtung</v>
      </c>
      <c r="F84" s="492"/>
      <c r="G84" s="437">
        <f>IF(D79-D80-D81-D82-D83-D84&gt;0,D79-D80-D81-D82-D83-D84,0)</f>
        <v>0</v>
      </c>
      <c r="H84" s="437">
        <f>IF(AND(D84&gt;0,B84&gt;0),B84-B79+1,0)</f>
        <v>0</v>
      </c>
      <c r="I84" s="441">
        <f>IF(H84&gt;0,IF(H84&gt;Faktoren!$D$5,Faktoren!$E$4,Faktoren!$E$5),0)</f>
        <v>0</v>
      </c>
      <c r="J84" s="439">
        <f>IF(H84&gt;0,D84*I84,0)</f>
        <v>0</v>
      </c>
      <c r="K84" s="437"/>
      <c r="L84" s="440"/>
      <c r="M84" s="560">
        <f>IF(OR(B84="",D84=""),0,H84+(I$6-B84))</f>
        <v>0</v>
      </c>
      <c r="N84" s="561">
        <f>IF(D84="",0,VLOOKUP(M84,Faktoren!$B$16:$D$55,2)/1000)</f>
        <v>0</v>
      </c>
    </row>
    <row r="85" spans="2:16" ht="13.5" thickBot="1">
      <c r="B85" s="482" t="str">
        <f>E85</f>
        <v>Abgänge</v>
      </c>
      <c r="C85" s="442"/>
      <c r="D85" s="437">
        <f>+D79-SUM(D80:D84)</f>
        <v>0</v>
      </c>
      <c r="E85" s="437" t="str">
        <f>Textes!A290</f>
        <v>Abgänge</v>
      </c>
      <c r="F85" s="492">
        <f>D85*0.6</f>
        <v>0</v>
      </c>
      <c r="G85" s="437"/>
      <c r="H85" s="437"/>
      <c r="I85" s="438">
        <f>IF(D85&gt;0,Faktoren!$E$7,0)</f>
        <v>0</v>
      </c>
      <c r="J85" s="439">
        <f>IF(D85&gt;0,D85*I85,0)</f>
        <v>0</v>
      </c>
      <c r="K85" s="443">
        <f>SUM(J80:J85)</f>
        <v>0</v>
      </c>
      <c r="L85" s="440"/>
      <c r="M85" s="560">
        <f>IF(MAX(B79:B84)&lt;$I$6,0,VLOOKUP($I$6,B79:G84,6))</f>
        <v>0</v>
      </c>
      <c r="O85" s="557">
        <f>MAX(B79:B84)</f>
        <v>0</v>
      </c>
      <c r="P85" s="553">
        <f>IF(OR($F$6="",I$6="",O85&lt;F$6),99,IF(AND(O85&gt;F$6,O85&lt;I$6),0,1))</f>
        <v>99</v>
      </c>
    </row>
    <row r="86" spans="2:16">
      <c r="B86" s="444"/>
      <c r="C86" s="439"/>
      <c r="D86" s="439">
        <f>IF(D79&gt;0,ROUND(+D85/D79*100,1),0)</f>
        <v>0</v>
      </c>
      <c r="E86" s="437" t="str">
        <f>Textes!A291</f>
        <v>Abgänge in %</v>
      </c>
      <c r="F86" s="437"/>
      <c r="G86" s="445" t="s">
        <v>830</v>
      </c>
      <c r="H86" s="437">
        <f>MAX(H79:H84)</f>
        <v>0</v>
      </c>
      <c r="I86" s="438" t="str">
        <f>Textes!A293</f>
        <v>Tage Stall belegt</v>
      </c>
      <c r="J86" s="439"/>
      <c r="K86" s="437"/>
      <c r="L86" s="440"/>
      <c r="M86" s="437"/>
      <c r="N86" s="553">
        <f>IF(P85=1,$I$6-B79+1,H86)</f>
        <v>0</v>
      </c>
    </row>
    <row r="87" spans="2:16">
      <c r="B87" s="451"/>
      <c r="C87" s="452"/>
      <c r="D87" s="558">
        <f>IF(P85=99,0,IF(P85=0,H86/MAX(H80:H84),IF(P85=1,(H86-(O85-$I$6))/H86,0)))</f>
        <v>0</v>
      </c>
      <c r="E87" s="448" t="str">
        <f>Textes!A292</f>
        <v>Umtriebe</v>
      </c>
      <c r="F87" s="448"/>
      <c r="G87" s="447"/>
      <c r="H87" s="448">
        <f>IF(B89&lt;&gt;0,(B89-O85),0)</f>
        <v>0</v>
      </c>
      <c r="I87" s="438" t="str">
        <f>Textes!A294</f>
        <v>Tage Stall leer</v>
      </c>
      <c r="J87" s="447"/>
      <c r="K87" s="448"/>
      <c r="L87" s="450"/>
    </row>
    <row r="88" spans="2:16" ht="13.5" thickBot="1">
      <c r="B88" s="431" t="str">
        <f>Textes!A279</f>
        <v>Umtrieb 8</v>
      </c>
      <c r="C88" s="432"/>
      <c r="D88" s="433"/>
      <c r="E88" s="433"/>
      <c r="F88" s="433"/>
      <c r="G88" s="433"/>
      <c r="H88" s="433"/>
      <c r="I88" s="434"/>
      <c r="J88" s="435"/>
      <c r="K88" s="433"/>
      <c r="L88" s="436"/>
    </row>
    <row r="89" spans="2:16" ht="13.5" thickBot="1">
      <c r="B89" s="489"/>
      <c r="C89" s="569">
        <f t="shared" ref="C89:C94" si="8">YEAR(B89)</f>
        <v>1900</v>
      </c>
      <c r="D89" s="490"/>
      <c r="E89" s="437" t="str">
        <f>Textes!A284</f>
        <v>Einstallung</v>
      </c>
      <c r="F89" s="551">
        <f>D89*0.04</f>
        <v>0</v>
      </c>
      <c r="G89" s="437">
        <f>IF(D89&gt;0,D89,0)</f>
        <v>0</v>
      </c>
      <c r="H89" s="437"/>
      <c r="I89" s="438"/>
      <c r="J89" s="439"/>
      <c r="K89" s="437"/>
      <c r="L89" s="440"/>
      <c r="M89" s="560">
        <f>IF(OR(B89="",D89=""),0,IF((I$6-B89)=0,1,H89+(I$6-B89)))</f>
        <v>0</v>
      </c>
      <c r="N89" s="561">
        <f>IF(D89="",0,VLOOKUP(M89,Faktoren!$B$16:$D$55,2)/1000)</f>
        <v>0</v>
      </c>
    </row>
    <row r="90" spans="2:16">
      <c r="B90" s="489"/>
      <c r="C90" s="569">
        <f t="shared" si="8"/>
        <v>1900</v>
      </c>
      <c r="D90" s="491"/>
      <c r="E90" s="437" t="str">
        <f>Textes!A285</f>
        <v>1. Schlachtung</v>
      </c>
      <c r="F90" s="491"/>
      <c r="G90" s="437">
        <f>IF(D89-D90&gt;0,D89-D90,0)</f>
        <v>0</v>
      </c>
      <c r="H90" s="437">
        <f>IF(AND(D90&gt;0,B90&gt;0),B90-B89+1,0)</f>
        <v>0</v>
      </c>
      <c r="I90" s="441">
        <f>IF(H90&gt;0,IF(H90&gt;Faktoren!$D$5,Faktoren!$E$4,Faktoren!$E$5),0)</f>
        <v>0</v>
      </c>
      <c r="J90" s="439">
        <f>IF(H90&gt;0,D90*I90,0)</f>
        <v>0</v>
      </c>
      <c r="K90" s="437"/>
      <c r="L90" s="440"/>
      <c r="M90" s="560">
        <f>IF(OR(B90="",D90=""),0,H90+(I$6-B90))</f>
        <v>0</v>
      </c>
      <c r="N90" s="561">
        <f>IF(D90="",0,VLOOKUP(M90,Faktoren!$B$16:$D$55,2)/1000)</f>
        <v>0</v>
      </c>
    </row>
    <row r="91" spans="2:16">
      <c r="B91" s="489"/>
      <c r="C91" s="569">
        <f t="shared" si="8"/>
        <v>1900</v>
      </c>
      <c r="D91" s="492"/>
      <c r="E91" s="437" t="str">
        <f>Textes!A286</f>
        <v>2. Schlachtung</v>
      </c>
      <c r="F91" s="492"/>
      <c r="G91" s="437">
        <f>IF(D89-D90-D91&gt;0,D89-D90-D91,0)</f>
        <v>0</v>
      </c>
      <c r="H91" s="437">
        <f>IF(AND(D91&gt;0,B91&gt;0),B91-B89+1,0)</f>
        <v>0</v>
      </c>
      <c r="I91" s="441">
        <f>IF(H91&gt;0,IF(H91&gt;Faktoren!$D$5,Faktoren!$E$4,Faktoren!$E$5),0)</f>
        <v>0</v>
      </c>
      <c r="J91" s="439">
        <f>IF(H91&gt;0,D91*I91,0)</f>
        <v>0</v>
      </c>
      <c r="K91" s="437"/>
      <c r="L91" s="440"/>
      <c r="M91" s="560">
        <f>IF(OR(B91="",D91=""),0,H91+(I$6-B91))</f>
        <v>0</v>
      </c>
      <c r="N91" s="561">
        <f>IF(D91="",0,VLOOKUP(M91,Faktoren!$B$16:$D$55,2)/1000)</f>
        <v>0</v>
      </c>
    </row>
    <row r="92" spans="2:16">
      <c r="B92" s="489"/>
      <c r="C92" s="569">
        <f t="shared" si="8"/>
        <v>1900</v>
      </c>
      <c r="D92" s="492"/>
      <c r="E92" s="437" t="str">
        <f>Textes!A287</f>
        <v>3. Schlachtung</v>
      </c>
      <c r="F92" s="492"/>
      <c r="G92" s="437">
        <f>IF(D89-D90-D91-D92&gt;0,D89-D90-D91-D92,0)</f>
        <v>0</v>
      </c>
      <c r="H92" s="437">
        <f>IF(AND(D92&gt;0,B92&gt;0),B92-B89+1,0)</f>
        <v>0</v>
      </c>
      <c r="I92" s="441">
        <f>IF(H92&gt;0,IF(H92&gt;Faktoren!$D$5,Faktoren!$E$4,Faktoren!$E$5),0)</f>
        <v>0</v>
      </c>
      <c r="J92" s="439">
        <f>IF(H92&gt;0,D92*I92,0)</f>
        <v>0</v>
      </c>
      <c r="K92" s="437"/>
      <c r="L92" s="440"/>
      <c r="M92" s="560">
        <f>IF(OR(B92="",D92=""),0,H92+(I$6-B92))</f>
        <v>0</v>
      </c>
      <c r="N92" s="561">
        <f>IF(D92="",0,VLOOKUP(M92,Faktoren!$B$16:$D$55,2)/1000)</f>
        <v>0</v>
      </c>
    </row>
    <row r="93" spans="2:16">
      <c r="B93" s="489"/>
      <c r="C93" s="569">
        <f t="shared" si="8"/>
        <v>1900</v>
      </c>
      <c r="D93" s="492"/>
      <c r="E93" s="437" t="str">
        <f>Textes!A288</f>
        <v>4. Schlachtung</v>
      </c>
      <c r="F93" s="492"/>
      <c r="G93" s="437">
        <f>IF(D89-D90-D91-D92-D93&gt;0,D89-D90-D91-D92-D93,0)</f>
        <v>0</v>
      </c>
      <c r="H93" s="437">
        <f>IF(AND(D93&gt;0,B93&gt;0),B93-B89+1,0)</f>
        <v>0</v>
      </c>
      <c r="I93" s="441">
        <f>IF(H93&gt;0,IF(H93&gt;Faktoren!$D$5,Faktoren!$E$4,Faktoren!$E$5),0)</f>
        <v>0</v>
      </c>
      <c r="J93" s="439">
        <f>IF(H93&gt;0,D93*I93,0)</f>
        <v>0</v>
      </c>
      <c r="K93" s="437"/>
      <c r="L93" s="440"/>
      <c r="M93" s="560">
        <f>IF(OR(B93="",D93=""),0,H93+(I$6-B93))</f>
        <v>0</v>
      </c>
      <c r="N93" s="561">
        <f>IF(D93="",0,VLOOKUP(M93,Faktoren!$B$16:$D$55,2)/1000)</f>
        <v>0</v>
      </c>
    </row>
    <row r="94" spans="2:16" ht="13.5" thickBot="1">
      <c r="B94" s="489"/>
      <c r="C94" s="569">
        <f t="shared" si="8"/>
        <v>1900</v>
      </c>
      <c r="D94" s="492"/>
      <c r="E94" s="437" t="str">
        <f>Textes!A289</f>
        <v>5. Schlachtung</v>
      </c>
      <c r="F94" s="492"/>
      <c r="G94" s="437">
        <f>IF(D89-D90-D91-D92-D93-D94&gt;0,D89-D90-D91-D92-D93-D94,0)</f>
        <v>0</v>
      </c>
      <c r="H94" s="437">
        <f>IF(AND(D94&gt;0,B94&gt;0),B94-B89+1,0)</f>
        <v>0</v>
      </c>
      <c r="I94" s="441">
        <f>IF(H94&gt;0,IF(H94&gt;Faktoren!$D$5,Faktoren!$E$4,Faktoren!$E$5),0)</f>
        <v>0</v>
      </c>
      <c r="J94" s="439">
        <f>IF(H94&gt;0,D94*I94,0)</f>
        <v>0</v>
      </c>
      <c r="K94" s="437"/>
      <c r="L94" s="440"/>
      <c r="M94" s="560">
        <f>IF(OR(B94="",D94=""),0,H94+(I$6-B94))</f>
        <v>0</v>
      </c>
      <c r="N94" s="561">
        <f>IF(D94="",0,VLOOKUP(M94,Faktoren!$B$16:$D$55,2)/1000)</f>
        <v>0</v>
      </c>
    </row>
    <row r="95" spans="2:16" ht="13.5" thickBot="1">
      <c r="B95" s="482" t="str">
        <f>E95</f>
        <v>Abgänge</v>
      </c>
      <c r="C95" s="442"/>
      <c r="D95" s="437">
        <f>+D89-SUM(D90:D94)</f>
        <v>0</v>
      </c>
      <c r="E95" s="437" t="str">
        <f>Textes!A290</f>
        <v>Abgänge</v>
      </c>
      <c r="F95" s="492">
        <f>D95*0.6</f>
        <v>0</v>
      </c>
      <c r="G95" s="437"/>
      <c r="H95" s="437"/>
      <c r="I95" s="438">
        <f>IF(D95&gt;0,Faktoren!$E$7,0)</f>
        <v>0</v>
      </c>
      <c r="J95" s="439">
        <f>IF(D95&gt;0,D95*I95,0)</f>
        <v>0</v>
      </c>
      <c r="K95" s="443">
        <f>SUM(J90:J95)</f>
        <v>0</v>
      </c>
      <c r="L95" s="440"/>
      <c r="M95" s="560">
        <f>IF(MAX(B89:B94)&lt;$I$6,0,VLOOKUP($I$6,B89:G94,6))</f>
        <v>0</v>
      </c>
      <c r="N95" s="454"/>
      <c r="O95" s="557">
        <f>MAX(B89:B94)</f>
        <v>0</v>
      </c>
      <c r="P95" s="553">
        <f>IF(OR($F$6="",I$6="",O95&lt;F$6),99,IF(AND(O95&gt;F$6,O95&lt;I$6),0,1))</f>
        <v>99</v>
      </c>
    </row>
    <row r="96" spans="2:16">
      <c r="B96" s="444"/>
      <c r="C96" s="439"/>
      <c r="D96" s="439">
        <f>IF(D89&gt;0,ROUND(+D95/D89*100,1),0)</f>
        <v>0</v>
      </c>
      <c r="E96" s="437" t="str">
        <f>Textes!A291</f>
        <v>Abgänge in %</v>
      </c>
      <c r="F96" s="437"/>
      <c r="G96" s="445" t="s">
        <v>830</v>
      </c>
      <c r="H96" s="437">
        <f>MAX(H89:H94)</f>
        <v>0</v>
      </c>
      <c r="I96" s="438" t="str">
        <f>Textes!A293</f>
        <v>Tage Stall belegt</v>
      </c>
      <c r="J96" s="439"/>
      <c r="K96" s="437"/>
      <c r="L96" s="440"/>
      <c r="M96" s="437"/>
      <c r="N96" s="553">
        <f>IF(P95=1,$I$6-B89+1,H96)</f>
        <v>0</v>
      </c>
    </row>
    <row r="97" spans="2:16">
      <c r="B97" s="451"/>
      <c r="C97" s="452"/>
      <c r="D97" s="558">
        <f>IF(P95=99,0,IF(P95=0,H96/MAX(H90:H94),IF(P95=1,(H96-(O95-$I$6))/H96,0)))</f>
        <v>0</v>
      </c>
      <c r="E97" s="448" t="str">
        <f>Textes!A292</f>
        <v>Umtriebe</v>
      </c>
      <c r="F97" s="448"/>
      <c r="G97" s="447"/>
      <c r="H97" s="448">
        <f>IF(B99&lt;&gt;0,(B99-O95),0)</f>
        <v>0</v>
      </c>
      <c r="I97" s="438" t="str">
        <f>Textes!A294</f>
        <v>Tage Stall leer</v>
      </c>
      <c r="J97" s="447"/>
      <c r="K97" s="448"/>
      <c r="L97" s="450"/>
      <c r="M97" s="437"/>
      <c r="N97" s="439"/>
    </row>
    <row r="98" spans="2:16" ht="13.5" thickBot="1">
      <c r="B98" s="431" t="str">
        <f>Textes!A280</f>
        <v>Umtrieb 9</v>
      </c>
      <c r="C98" s="432"/>
      <c r="D98" s="433"/>
      <c r="E98" s="433"/>
      <c r="F98" s="433"/>
      <c r="G98" s="433"/>
      <c r="H98" s="433"/>
      <c r="I98" s="434"/>
      <c r="J98" s="435"/>
      <c r="K98" s="433"/>
      <c r="L98" s="436"/>
      <c r="M98" s="437"/>
      <c r="N98" s="439"/>
    </row>
    <row r="99" spans="2:16" ht="13.5" thickBot="1">
      <c r="B99" s="489"/>
      <c r="C99" s="569">
        <f t="shared" ref="C99:C104" si="9">YEAR(B99)</f>
        <v>1900</v>
      </c>
      <c r="D99" s="490"/>
      <c r="E99" s="437" t="str">
        <f>Textes!A284</f>
        <v>Einstallung</v>
      </c>
      <c r="F99" s="551">
        <f>D99*0.04</f>
        <v>0</v>
      </c>
      <c r="G99" s="437">
        <f>IF(D99&gt;0,D99,0)</f>
        <v>0</v>
      </c>
      <c r="H99" s="437"/>
      <c r="I99" s="438"/>
      <c r="J99" s="439"/>
      <c r="K99" s="437"/>
      <c r="L99" s="440"/>
      <c r="M99" s="560">
        <f>IF(OR(B99="",D99=""),0,IF((I$6-B99)=0,1,H99+(I$6-B99)))</f>
        <v>0</v>
      </c>
      <c r="N99" s="561">
        <f>IF(D99="",0,VLOOKUP(M99,Faktoren!$B$16:$D$55,2)/1000)</f>
        <v>0</v>
      </c>
    </row>
    <row r="100" spans="2:16">
      <c r="B100" s="489"/>
      <c r="C100" s="569">
        <f t="shared" si="9"/>
        <v>1900</v>
      </c>
      <c r="D100" s="491"/>
      <c r="E100" s="437" t="str">
        <f>Textes!A285</f>
        <v>1. Schlachtung</v>
      </c>
      <c r="F100" s="491"/>
      <c r="G100" s="437">
        <f>IF(D99-D100&gt;0,D99-D100,0)</f>
        <v>0</v>
      </c>
      <c r="H100" s="437">
        <f>IF(AND(D100&gt;0,B100&gt;0),B100-B99+1,0)</f>
        <v>0</v>
      </c>
      <c r="I100" s="441">
        <f>IF(H100&gt;0,IF(H100&gt;Faktoren!$D$5,Faktoren!$E$4,Faktoren!$E$5),0)</f>
        <v>0</v>
      </c>
      <c r="J100" s="439">
        <f>IF(H100&gt;0,D100*I100,0)</f>
        <v>0</v>
      </c>
      <c r="K100" s="437"/>
      <c r="L100" s="440"/>
      <c r="M100" s="560">
        <f>IF(OR(B100="",D100=""),0,H100+(I$6-B100))</f>
        <v>0</v>
      </c>
      <c r="N100" s="561">
        <f>IF(D100="",0,VLOOKUP(M100,Faktoren!$B$16:$D$55,2)/1000)</f>
        <v>0</v>
      </c>
    </row>
    <row r="101" spans="2:16">
      <c r="B101" s="489"/>
      <c r="C101" s="569">
        <f t="shared" si="9"/>
        <v>1900</v>
      </c>
      <c r="D101" s="492"/>
      <c r="E101" s="437" t="str">
        <f>Textes!A286</f>
        <v>2. Schlachtung</v>
      </c>
      <c r="F101" s="492"/>
      <c r="G101" s="437">
        <f>IF(D99-D100-D101&gt;0,D99-D100-D101,0)</f>
        <v>0</v>
      </c>
      <c r="H101" s="437">
        <f>IF(AND(D101&gt;0,B101&gt;0),B101-B99+1,0)</f>
        <v>0</v>
      </c>
      <c r="I101" s="441">
        <f>IF(H101&gt;0,IF(H101&gt;Faktoren!$D$5,Faktoren!$E$4,Faktoren!$E$5),0)</f>
        <v>0</v>
      </c>
      <c r="J101" s="439">
        <f>IF(H101&gt;0,D101*I101,0)</f>
        <v>0</v>
      </c>
      <c r="K101" s="437"/>
      <c r="L101" s="440"/>
      <c r="M101" s="560">
        <f>IF(OR(B101="",D101=""),0,H101+(I$6-B101))</f>
        <v>0</v>
      </c>
      <c r="N101" s="561">
        <f>IF(D101="",0,VLOOKUP(M101,Faktoren!$B$16:$D$55,2)/1000)</f>
        <v>0</v>
      </c>
    </row>
    <row r="102" spans="2:16">
      <c r="B102" s="489"/>
      <c r="C102" s="569">
        <f t="shared" si="9"/>
        <v>1900</v>
      </c>
      <c r="D102" s="492"/>
      <c r="E102" s="437" t="str">
        <f>Textes!A287</f>
        <v>3. Schlachtung</v>
      </c>
      <c r="F102" s="492"/>
      <c r="G102" s="437">
        <f>IF(D99-D100-D101-D102&gt;0,D99-D100-D101-D102,0)</f>
        <v>0</v>
      </c>
      <c r="H102" s="437">
        <f>IF(AND(D102&gt;0,B102&gt;0),B102-B99+1,0)</f>
        <v>0</v>
      </c>
      <c r="I102" s="441">
        <f>IF(H102&gt;0,IF(H102&gt;Faktoren!$D$5,Faktoren!$E$4,Faktoren!$E$5),0)</f>
        <v>0</v>
      </c>
      <c r="J102" s="439">
        <f>IF(H102&gt;0,D102*I102,0)</f>
        <v>0</v>
      </c>
      <c r="K102" s="437"/>
      <c r="L102" s="440"/>
      <c r="M102" s="560">
        <f>IF(OR(B102="",D102=""),0,H102+(I$6-B102))</f>
        <v>0</v>
      </c>
      <c r="N102" s="561">
        <f>IF(D102="",0,VLOOKUP(M102,Faktoren!$B$16:$D$55,2)/1000)</f>
        <v>0</v>
      </c>
    </row>
    <row r="103" spans="2:16">
      <c r="B103" s="489"/>
      <c r="C103" s="569">
        <f t="shared" si="9"/>
        <v>1900</v>
      </c>
      <c r="D103" s="492"/>
      <c r="E103" s="437" t="str">
        <f>Textes!A288</f>
        <v>4. Schlachtung</v>
      </c>
      <c r="F103" s="492"/>
      <c r="G103" s="437">
        <f>IF(D99-D100-D101-D102-D103&gt;0,D99-D100-D101-D102-D103,0)</f>
        <v>0</v>
      </c>
      <c r="H103" s="437">
        <f>IF(AND(D103&gt;0,B103&gt;0),B103-B99+1,0)</f>
        <v>0</v>
      </c>
      <c r="I103" s="441">
        <f>IF(H103&gt;0,IF(H103&gt;Faktoren!$D$5,Faktoren!$E$4,Faktoren!$E$5),0)</f>
        <v>0</v>
      </c>
      <c r="J103" s="439">
        <f>IF(H103&gt;0,D103*I103,0)</f>
        <v>0</v>
      </c>
      <c r="K103" s="437"/>
      <c r="L103" s="440"/>
      <c r="M103" s="560">
        <f>IF(OR(B103="",D103=""),0,H103+(I$6-B103))</f>
        <v>0</v>
      </c>
      <c r="N103" s="561">
        <f>IF(D103="",0,VLOOKUP(M103,Faktoren!$B$16:$D$55,2)/1000)</f>
        <v>0</v>
      </c>
    </row>
    <row r="104" spans="2:16" ht="13.5" thickBot="1">
      <c r="B104" s="489"/>
      <c r="C104" s="569">
        <f t="shared" si="9"/>
        <v>1900</v>
      </c>
      <c r="D104" s="492"/>
      <c r="E104" s="437" t="str">
        <f>Textes!A289</f>
        <v>5. Schlachtung</v>
      </c>
      <c r="F104" s="492"/>
      <c r="G104" s="437">
        <f>IF(D99-D100-D101-D102-D103-D104&gt;0,D99-D100-D101-D102-D103-D104,0)</f>
        <v>0</v>
      </c>
      <c r="H104" s="437">
        <f>IF(AND(D104&gt;0,B104&gt;0),B104-B99+1,0)</f>
        <v>0</v>
      </c>
      <c r="I104" s="441">
        <f>IF(H104&gt;0,IF(H104&gt;Faktoren!$D$5,Faktoren!$E$4,Faktoren!$E$5),0)</f>
        <v>0</v>
      </c>
      <c r="J104" s="439">
        <f>IF(H104&gt;0,D104*I104,0)</f>
        <v>0</v>
      </c>
      <c r="K104" s="437"/>
      <c r="L104" s="440"/>
      <c r="M104" s="560">
        <f>IF(OR(B104="",D104=""),0,H104+(I$6-B104))</f>
        <v>0</v>
      </c>
      <c r="N104" s="561">
        <f>IF(D104="",0,VLOOKUP(M104,Faktoren!$B$16:$D$55,2)/1000)</f>
        <v>0</v>
      </c>
    </row>
    <row r="105" spans="2:16" ht="13.5" thickBot="1">
      <c r="B105" s="482" t="str">
        <f>E105</f>
        <v>Abgänge</v>
      </c>
      <c r="C105" s="442"/>
      <c r="D105" s="437">
        <f>+D99-SUM(D100:D104)</f>
        <v>0</v>
      </c>
      <c r="E105" s="437" t="str">
        <f>Textes!A290</f>
        <v>Abgänge</v>
      </c>
      <c r="F105" s="492">
        <f>D105*0.6</f>
        <v>0</v>
      </c>
      <c r="G105" s="437"/>
      <c r="H105" s="437"/>
      <c r="I105" s="438">
        <f>IF(D105&gt;0,Faktoren!$E$7,0)</f>
        <v>0</v>
      </c>
      <c r="J105" s="439">
        <f>IF(D105&gt;0,D105*I105,0)</f>
        <v>0</v>
      </c>
      <c r="K105" s="443">
        <f>SUM(J100:J105)</f>
        <v>0</v>
      </c>
      <c r="L105" s="440"/>
      <c r="M105" s="560">
        <f>IF(MAX(B99:B104)&lt;$I$6,0,VLOOKUP($I$6,B99:G104,6))</f>
        <v>0</v>
      </c>
      <c r="N105" s="454"/>
      <c r="O105" s="557">
        <f>MAX(B99:B104)</f>
        <v>0</v>
      </c>
      <c r="P105" s="553">
        <f>IF(OR($F$6="",I$6="",O105&lt;F$6),99,IF(AND(O105&gt;F$6,O105&lt;I$6),0,1))</f>
        <v>99</v>
      </c>
    </row>
    <row r="106" spans="2:16">
      <c r="B106" s="444"/>
      <c r="C106" s="439"/>
      <c r="D106" s="439">
        <f>IF(D99&gt;0,ROUND(+D105/D99*100,1),0)</f>
        <v>0</v>
      </c>
      <c r="E106" s="437" t="str">
        <f>Textes!A291</f>
        <v>Abgänge in %</v>
      </c>
      <c r="F106" s="437"/>
      <c r="G106" s="445" t="s">
        <v>830</v>
      </c>
      <c r="H106" s="437">
        <f>MAX(H99:H104)</f>
        <v>0</v>
      </c>
      <c r="I106" s="438" t="str">
        <f>Textes!A293</f>
        <v>Tage Stall belegt</v>
      </c>
      <c r="J106" s="439"/>
      <c r="K106" s="437"/>
      <c r="L106" s="440"/>
      <c r="M106" s="437"/>
      <c r="N106" s="553">
        <f>IF(P105=1,$I$6-B99+1,H106)</f>
        <v>0</v>
      </c>
    </row>
    <row r="107" spans="2:16">
      <c r="B107" s="451"/>
      <c r="C107" s="452"/>
      <c r="D107" s="558">
        <f>IF(P105=99,0,IF(P105=0,H106/MAX(H100:H104),IF(P105=1,(H106-(O105-$I$6))/H106,0)))</f>
        <v>0</v>
      </c>
      <c r="E107" s="448" t="str">
        <f>Textes!A292</f>
        <v>Umtriebe</v>
      </c>
      <c r="F107" s="448"/>
      <c r="G107" s="447"/>
      <c r="H107" s="448">
        <f>IF(B109&lt;&gt;0,(B109-O105),0)</f>
        <v>0</v>
      </c>
      <c r="I107" s="438" t="str">
        <f>Textes!A294</f>
        <v>Tage Stall leer</v>
      </c>
      <c r="J107" s="447"/>
      <c r="K107" s="448"/>
      <c r="L107" s="450"/>
      <c r="M107" s="437"/>
      <c r="N107" s="439"/>
    </row>
    <row r="108" spans="2:16" ht="13.5" thickBot="1">
      <c r="B108" s="431" t="str">
        <f>Textes!A281</f>
        <v>Umtrieb 10</v>
      </c>
      <c r="C108" s="432"/>
      <c r="D108" s="433"/>
      <c r="E108" s="433"/>
      <c r="F108" s="433"/>
      <c r="G108" s="433"/>
      <c r="H108" s="433"/>
      <c r="I108" s="434"/>
      <c r="J108" s="435"/>
      <c r="K108" s="433"/>
      <c r="L108" s="436"/>
      <c r="M108" s="437"/>
      <c r="N108" s="439"/>
    </row>
    <row r="109" spans="2:16" ht="13.5" thickBot="1">
      <c r="B109" s="489"/>
      <c r="C109" s="569">
        <f t="shared" ref="C109:C114" si="10">YEAR(B109)</f>
        <v>1900</v>
      </c>
      <c r="D109" s="490"/>
      <c r="E109" s="437" t="str">
        <f>Textes!A284</f>
        <v>Einstallung</v>
      </c>
      <c r="F109" s="551">
        <f>D109*0.04</f>
        <v>0</v>
      </c>
      <c r="G109" s="437">
        <f>IF(D109&gt;0,D109,0)</f>
        <v>0</v>
      </c>
      <c r="H109" s="437"/>
      <c r="I109" s="438"/>
      <c r="J109" s="439"/>
      <c r="K109" s="437"/>
      <c r="L109" s="440"/>
      <c r="M109" s="560">
        <f>IF(OR(B109="",D109=""),0,IF((I$6-B109)=0,1,H109+(I$6-B109)))</f>
        <v>0</v>
      </c>
      <c r="N109" s="561">
        <f>IF(D109="",0,VLOOKUP(M109,Faktoren!$B$16:$D$55,2)/1000)</f>
        <v>0</v>
      </c>
    </row>
    <row r="110" spans="2:16">
      <c r="B110" s="489"/>
      <c r="C110" s="569">
        <f t="shared" si="10"/>
        <v>1900</v>
      </c>
      <c r="D110" s="491"/>
      <c r="E110" s="437" t="str">
        <f>Textes!A285</f>
        <v>1. Schlachtung</v>
      </c>
      <c r="F110" s="491"/>
      <c r="G110" s="437">
        <f>IF(D109-D110&gt;0,D109-D110,0)</f>
        <v>0</v>
      </c>
      <c r="H110" s="437">
        <f>IF(AND(D110&gt;0,B110&gt;0),B110-B109+1,0)</f>
        <v>0</v>
      </c>
      <c r="I110" s="441">
        <f>IF(H110&gt;0,IF(H110&gt;Faktoren!$D$5,Faktoren!$E$4,Faktoren!$E$5),0)</f>
        <v>0</v>
      </c>
      <c r="J110" s="439">
        <f>IF(H110&gt;0,D110*I110,0)</f>
        <v>0</v>
      </c>
      <c r="K110" s="437"/>
      <c r="L110" s="440"/>
      <c r="M110" s="560">
        <f>IF(OR(B110="",D110=""),0,H110+(I$6-B110))</f>
        <v>0</v>
      </c>
      <c r="N110" s="561">
        <f>IF(D110="",0,VLOOKUP(M110,Faktoren!$B$16:$D$55,2)/1000)</f>
        <v>0</v>
      </c>
    </row>
    <row r="111" spans="2:16">
      <c r="B111" s="489"/>
      <c r="C111" s="569">
        <f t="shared" si="10"/>
        <v>1900</v>
      </c>
      <c r="D111" s="492"/>
      <c r="E111" s="437" t="str">
        <f>Textes!A286</f>
        <v>2. Schlachtung</v>
      </c>
      <c r="F111" s="492"/>
      <c r="G111" s="437">
        <f>IF(D109-D110-D111&gt;0,D109-D110-D111,0)</f>
        <v>0</v>
      </c>
      <c r="H111" s="437">
        <f>IF(AND(D111&gt;0,B111&gt;0),B111-B109+1,0)</f>
        <v>0</v>
      </c>
      <c r="I111" s="441">
        <f>IF(H111&gt;0,IF(H111&gt;Faktoren!$D$5,Faktoren!$E$4,Faktoren!$E$5),0)</f>
        <v>0</v>
      </c>
      <c r="J111" s="439">
        <f>IF(H111&gt;0,D111*I111,0)</f>
        <v>0</v>
      </c>
      <c r="K111" s="437"/>
      <c r="L111" s="440"/>
      <c r="M111" s="560">
        <f>IF(OR(B111="",D111=""),0,H111+(I$6-B111))</f>
        <v>0</v>
      </c>
      <c r="N111" s="561">
        <f>IF(D111="",0,VLOOKUP(M111,Faktoren!$B$16:$D$55,2)/1000)</f>
        <v>0</v>
      </c>
    </row>
    <row r="112" spans="2:16">
      <c r="B112" s="489"/>
      <c r="C112" s="569">
        <f t="shared" si="10"/>
        <v>1900</v>
      </c>
      <c r="D112" s="492"/>
      <c r="E112" s="437" t="str">
        <f>Textes!A287</f>
        <v>3. Schlachtung</v>
      </c>
      <c r="F112" s="492"/>
      <c r="G112" s="437">
        <f>IF(D109-D110-D111-D112&gt;0,D109-D110-D111-D112,0)</f>
        <v>0</v>
      </c>
      <c r="H112" s="437">
        <f>IF(AND(D112&gt;0,B112&gt;0),B112-B109+1,0)</f>
        <v>0</v>
      </c>
      <c r="I112" s="441">
        <f>IF(H112&gt;0,IF(H112&gt;Faktoren!$D$5,Faktoren!$E$4,Faktoren!$E$5),0)</f>
        <v>0</v>
      </c>
      <c r="J112" s="439">
        <f>IF(H112&gt;0,D112*I112,0)</f>
        <v>0</v>
      </c>
      <c r="K112" s="437"/>
      <c r="L112" s="440"/>
      <c r="M112" s="560">
        <f>IF(OR(B112="",D112=""),0,H112+(I$6-B112))</f>
        <v>0</v>
      </c>
      <c r="N112" s="561">
        <f>IF(D112="",0,VLOOKUP(M112,Faktoren!$B$16:$D$55,2)/1000)</f>
        <v>0</v>
      </c>
    </row>
    <row r="113" spans="2:16">
      <c r="B113" s="489"/>
      <c r="C113" s="569">
        <f t="shared" si="10"/>
        <v>1900</v>
      </c>
      <c r="D113" s="492"/>
      <c r="E113" s="437" t="str">
        <f>Textes!A288</f>
        <v>4. Schlachtung</v>
      </c>
      <c r="F113" s="492"/>
      <c r="G113" s="437">
        <f>IF(D109-D110-D111-D112-D113&gt;0,D109-D110-D111-D112-D113,0)</f>
        <v>0</v>
      </c>
      <c r="H113" s="437">
        <f>IF(AND(D113&gt;0,B113&gt;0),B113-B109+1,0)</f>
        <v>0</v>
      </c>
      <c r="I113" s="441">
        <f>IF(H113&gt;0,IF(H113&gt;Faktoren!$D$5,Faktoren!$E$4,Faktoren!$E$5),0)</f>
        <v>0</v>
      </c>
      <c r="J113" s="439">
        <f>IF(H113&gt;0,D113*I113,0)</f>
        <v>0</v>
      </c>
      <c r="K113" s="437"/>
      <c r="L113" s="440"/>
      <c r="M113" s="560">
        <f>IF(OR(B113="",D113=""),0,H113+(I$6-B113))</f>
        <v>0</v>
      </c>
      <c r="N113" s="561">
        <f>IF(D113="",0,VLOOKUP(M113,Faktoren!$B$16:$D$55,2)/1000)</f>
        <v>0</v>
      </c>
    </row>
    <row r="114" spans="2:16" ht="13.5" thickBot="1">
      <c r="B114" s="489"/>
      <c r="C114" s="569">
        <f t="shared" si="10"/>
        <v>1900</v>
      </c>
      <c r="D114" s="492"/>
      <c r="E114" s="437" t="str">
        <f>Textes!A289</f>
        <v>5. Schlachtung</v>
      </c>
      <c r="F114" s="492"/>
      <c r="G114" s="437">
        <f>IF(D109-D110-D111-D112-D113-D114&gt;0,D109-D110-D111-D112-D113-D114,0)</f>
        <v>0</v>
      </c>
      <c r="H114" s="437">
        <f>IF(AND(D114&gt;0,B114&gt;0),B114-B109+1,0)</f>
        <v>0</v>
      </c>
      <c r="I114" s="441">
        <f>IF(H114&gt;0,IF(H114&gt;Faktoren!$D$5,Faktoren!$E$4,Faktoren!$E$5),0)</f>
        <v>0</v>
      </c>
      <c r="J114" s="439">
        <f>IF(H114&gt;0,D114*I114,0)</f>
        <v>0</v>
      </c>
      <c r="K114" s="437"/>
      <c r="L114" s="440"/>
      <c r="M114" s="560">
        <f>IF(OR(B114="",D114=""),0,H114+(I$6-B114))</f>
        <v>0</v>
      </c>
      <c r="N114" s="561">
        <f>IF(D114="",0,VLOOKUP(M114,Faktoren!$B$16:$D$55,2)/1000)</f>
        <v>0</v>
      </c>
    </row>
    <row r="115" spans="2:16" ht="13.5" thickBot="1">
      <c r="B115" s="482" t="str">
        <f>E115</f>
        <v>Abgänge</v>
      </c>
      <c r="C115" s="442"/>
      <c r="D115" s="437">
        <f>+D109-SUM(D110:D114)</f>
        <v>0</v>
      </c>
      <c r="E115" s="437" t="str">
        <f>Textes!A290</f>
        <v>Abgänge</v>
      </c>
      <c r="F115" s="492">
        <f>D115*0.6</f>
        <v>0</v>
      </c>
      <c r="G115" s="437"/>
      <c r="H115" s="437"/>
      <c r="I115" s="438">
        <f>IF(D115&gt;0,Faktoren!$E$7,0)</f>
        <v>0</v>
      </c>
      <c r="J115" s="439">
        <f>IF(D115&gt;0,D115*I115,0)</f>
        <v>0</v>
      </c>
      <c r="K115" s="443">
        <f>SUM(J110:J115)</f>
        <v>0</v>
      </c>
      <c r="L115" s="440"/>
      <c r="M115" s="560">
        <f>IF(MAX(B109:B114)&lt;$I$6,0,VLOOKUP($I$6,B109:G114,6))</f>
        <v>0</v>
      </c>
      <c r="N115" s="454"/>
      <c r="O115" s="557">
        <f>MAX(B109:B114)</f>
        <v>0</v>
      </c>
      <c r="P115" s="553">
        <f>IF(OR($F$6="",I$6="",O115&lt;F$6),99,IF(AND(O115&gt;F$6,O115&lt;I$6),0,1))</f>
        <v>99</v>
      </c>
    </row>
    <row r="116" spans="2:16">
      <c r="B116" s="444"/>
      <c r="C116" s="439"/>
      <c r="D116" s="439">
        <f>IF(D109&gt;0,ROUND(+D115/D109*100,1),0)</f>
        <v>0</v>
      </c>
      <c r="E116" s="437" t="str">
        <f>Textes!A291</f>
        <v>Abgänge in %</v>
      </c>
      <c r="F116" s="437"/>
      <c r="G116" s="445" t="s">
        <v>830</v>
      </c>
      <c r="H116" s="437">
        <f>MAX(H109:H114)</f>
        <v>0</v>
      </c>
      <c r="I116" s="438" t="str">
        <f>Textes!A293</f>
        <v>Tage Stall belegt</v>
      </c>
      <c r="J116" s="439"/>
      <c r="K116" s="437"/>
      <c r="L116" s="440"/>
      <c r="M116" s="437"/>
      <c r="N116" s="553">
        <f>IF(P115=1,$I$6-B109+1,H116)</f>
        <v>0</v>
      </c>
    </row>
    <row r="117" spans="2:16">
      <c r="B117" s="451"/>
      <c r="C117" s="452"/>
      <c r="D117" s="558">
        <f>IF(P115=99,0,IF(P115=0,H116/MAX(H110:H114),IF(P115=1,(H116-(O115-$I$6))/H116,0)))</f>
        <v>0</v>
      </c>
      <c r="E117" s="448" t="str">
        <f>Textes!A292</f>
        <v>Umtriebe</v>
      </c>
      <c r="F117" s="448"/>
      <c r="G117" s="447"/>
      <c r="H117" s="448">
        <f>IF(B119&lt;&gt;0,(B119-O115),0)</f>
        <v>0</v>
      </c>
      <c r="I117" s="438" t="str">
        <f>Textes!A294</f>
        <v>Tage Stall leer</v>
      </c>
      <c r="J117" s="447"/>
      <c r="K117" s="448"/>
      <c r="L117" s="450"/>
      <c r="M117" s="437"/>
      <c r="N117" s="439"/>
    </row>
    <row r="118" spans="2:16" ht="13.5" thickBot="1">
      <c r="B118" s="431" t="str">
        <f>Textes!A282</f>
        <v>Umtrieb 11</v>
      </c>
      <c r="C118" s="432"/>
      <c r="D118" s="433"/>
      <c r="E118" s="433"/>
      <c r="F118" s="433"/>
      <c r="G118" s="433"/>
      <c r="H118" s="433"/>
      <c r="I118" s="434"/>
      <c r="J118" s="435"/>
      <c r="K118" s="433"/>
      <c r="L118" s="436"/>
      <c r="M118" s="437"/>
      <c r="N118" s="439"/>
    </row>
    <row r="119" spans="2:16" ht="13.5" thickBot="1">
      <c r="B119" s="489"/>
      <c r="C119" s="569">
        <f t="shared" ref="C119:C124" si="11">YEAR(B119)</f>
        <v>1900</v>
      </c>
      <c r="D119" s="490"/>
      <c r="E119" s="437" t="str">
        <f>Textes!A284</f>
        <v>Einstallung</v>
      </c>
      <c r="F119" s="551">
        <f>D119*0.04</f>
        <v>0</v>
      </c>
      <c r="G119" s="437">
        <f>IF(D119&gt;0,D119,0)</f>
        <v>0</v>
      </c>
      <c r="H119" s="437"/>
      <c r="I119" s="438"/>
      <c r="J119" s="439"/>
      <c r="K119" s="437"/>
      <c r="L119" s="440"/>
      <c r="M119" s="560">
        <f>IF(OR(B119="",D119=""),0,IF((I$6-B119)=0,1,H119+(I$6-B119)))</f>
        <v>0</v>
      </c>
      <c r="N119" s="561">
        <f>IF(D119="",0,VLOOKUP(M119,Faktoren!$B$16:$D$55,2)/1000)</f>
        <v>0</v>
      </c>
    </row>
    <row r="120" spans="2:16">
      <c r="B120" s="489"/>
      <c r="C120" s="569">
        <f t="shared" si="11"/>
        <v>1900</v>
      </c>
      <c r="D120" s="491"/>
      <c r="E120" s="437" t="str">
        <f>Textes!A285</f>
        <v>1. Schlachtung</v>
      </c>
      <c r="F120" s="491"/>
      <c r="G120" s="437">
        <f>IF(D119-D120&gt;0,D119-D120,0)</f>
        <v>0</v>
      </c>
      <c r="H120" s="437">
        <f>IF(AND(D120&gt;0,B120&gt;0),B120-B119+1,0)</f>
        <v>0</v>
      </c>
      <c r="I120" s="441">
        <f>IF(H120&gt;0,IF(H120&gt;Faktoren!$D$5,Faktoren!$E$4,Faktoren!$E$5),0)</f>
        <v>0</v>
      </c>
      <c r="J120" s="439">
        <f>IF(H120&gt;0,D120*I120,0)</f>
        <v>0</v>
      </c>
      <c r="K120" s="437"/>
      <c r="L120" s="440"/>
      <c r="M120" s="560">
        <f>IF(OR(B120="",D120=""),0,H120+(I$6-B120))</f>
        <v>0</v>
      </c>
      <c r="N120" s="561">
        <f>IF(D120="",0,VLOOKUP(M120,Faktoren!$B$16:$D$55,2)/1000)</f>
        <v>0</v>
      </c>
    </row>
    <row r="121" spans="2:16">
      <c r="B121" s="489"/>
      <c r="C121" s="569">
        <f t="shared" si="11"/>
        <v>1900</v>
      </c>
      <c r="D121" s="492"/>
      <c r="E121" s="437" t="str">
        <f>Textes!A286</f>
        <v>2. Schlachtung</v>
      </c>
      <c r="F121" s="492"/>
      <c r="G121" s="437">
        <f>IF(D119-D120-D121&gt;0,D119-D120-D121,0)</f>
        <v>0</v>
      </c>
      <c r="H121" s="437">
        <f>IF(AND(D121&gt;0,B121&gt;0),B121-B119+1,0)</f>
        <v>0</v>
      </c>
      <c r="I121" s="441">
        <f>IF(H121&gt;0,IF(H121&gt;Faktoren!$D$5,Faktoren!$E$4,Faktoren!$E$5),0)</f>
        <v>0</v>
      </c>
      <c r="J121" s="439">
        <f>IF(H121&gt;0,D121*I121,0)</f>
        <v>0</v>
      </c>
      <c r="K121" s="437"/>
      <c r="L121" s="440"/>
      <c r="M121" s="560">
        <f>IF(OR(B121="",D121=""),0,H121+(I$6-B121))</f>
        <v>0</v>
      </c>
      <c r="N121" s="561">
        <f>IF(D121="",0,VLOOKUP(M121,Faktoren!$B$16:$D$55,2)/1000)</f>
        <v>0</v>
      </c>
    </row>
    <row r="122" spans="2:16">
      <c r="B122" s="489"/>
      <c r="C122" s="569">
        <f t="shared" si="11"/>
        <v>1900</v>
      </c>
      <c r="D122" s="492"/>
      <c r="E122" s="437" t="str">
        <f>Textes!A287</f>
        <v>3. Schlachtung</v>
      </c>
      <c r="F122" s="492"/>
      <c r="G122" s="437">
        <f>IF(D119-D120-D121-D122&gt;0,D119-D120-D121-D122,0)</f>
        <v>0</v>
      </c>
      <c r="H122" s="437">
        <f>IF(AND(D122&gt;0,B122&gt;0),B122-B119+1,0)</f>
        <v>0</v>
      </c>
      <c r="I122" s="441">
        <f>IF(H122&gt;0,IF(H122&gt;Faktoren!$D$5,Faktoren!$E$4,Faktoren!$E$5),0)</f>
        <v>0</v>
      </c>
      <c r="J122" s="439">
        <f>IF(H122&gt;0,D122*I122,0)</f>
        <v>0</v>
      </c>
      <c r="K122" s="437"/>
      <c r="L122" s="440"/>
      <c r="M122" s="560">
        <f>IF(OR(B122="",D122=""),0,H122+(I$6-B122))</f>
        <v>0</v>
      </c>
      <c r="N122" s="561">
        <f>IF(D122="",0,VLOOKUP(M122,Faktoren!$B$16:$D$55,2)/1000)</f>
        <v>0</v>
      </c>
    </row>
    <row r="123" spans="2:16">
      <c r="B123" s="489"/>
      <c r="C123" s="569">
        <f t="shared" si="11"/>
        <v>1900</v>
      </c>
      <c r="D123" s="492"/>
      <c r="E123" s="437" t="str">
        <f>Textes!A288</f>
        <v>4. Schlachtung</v>
      </c>
      <c r="F123" s="492"/>
      <c r="G123" s="437">
        <f>IF(D119-D120-D121-D122-D123&gt;0,D119-D120-D121-D122-D123,0)</f>
        <v>0</v>
      </c>
      <c r="H123" s="437">
        <f>IF(AND(D123&gt;0,B123&gt;0),B123-B119+1,0)</f>
        <v>0</v>
      </c>
      <c r="I123" s="441">
        <f>IF(H123&gt;0,IF(H123&gt;Faktoren!$D$5,Faktoren!$E$4,Faktoren!$E$5),0)</f>
        <v>0</v>
      </c>
      <c r="J123" s="439">
        <f>IF(H123&gt;0,D123*I123,0)</f>
        <v>0</v>
      </c>
      <c r="K123" s="437"/>
      <c r="L123" s="440"/>
      <c r="M123" s="560">
        <f>IF(OR(B123="",D123=""),0,H123+(I$6-B123))</f>
        <v>0</v>
      </c>
      <c r="N123" s="561">
        <f>IF(D123="",0,VLOOKUP(M123,Faktoren!$B$16:$D$55,2)/1000)</f>
        <v>0</v>
      </c>
    </row>
    <row r="124" spans="2:16" ht="13.5" thickBot="1">
      <c r="B124" s="489"/>
      <c r="C124" s="569">
        <f t="shared" si="11"/>
        <v>1900</v>
      </c>
      <c r="D124" s="492"/>
      <c r="E124" s="437" t="str">
        <f>Textes!A289</f>
        <v>5. Schlachtung</v>
      </c>
      <c r="F124" s="492"/>
      <c r="G124" s="437">
        <f>IF(D119-D120-D121-D122-D123-D124&gt;0,D119-D120-D121-D122-D123-D124,0)</f>
        <v>0</v>
      </c>
      <c r="H124" s="437">
        <f>IF(AND(D124&gt;0,B124&gt;0),B124-B119+1,0)</f>
        <v>0</v>
      </c>
      <c r="I124" s="441">
        <f>IF(H124&gt;0,IF(H124&gt;Faktoren!$D$5,Faktoren!$E$4,Faktoren!$E$5),0)</f>
        <v>0</v>
      </c>
      <c r="J124" s="439">
        <f>IF(H124&gt;0,D124*I124,0)</f>
        <v>0</v>
      </c>
      <c r="K124" s="437"/>
      <c r="L124" s="440"/>
      <c r="M124" s="560">
        <f>IF(OR(B124="",D124=""),0,H124+(I$6-B124))</f>
        <v>0</v>
      </c>
      <c r="N124" s="561">
        <f>IF(D124="",0,VLOOKUP(M124,Faktoren!$B$16:$D$55,2)/1000)</f>
        <v>0</v>
      </c>
    </row>
    <row r="125" spans="2:16" ht="13.5" thickBot="1">
      <c r="B125" s="482" t="str">
        <f>E125</f>
        <v>Abgänge</v>
      </c>
      <c r="C125" s="442"/>
      <c r="D125" s="437">
        <f>+D119-SUM(D120:D124)</f>
        <v>0</v>
      </c>
      <c r="E125" s="437" t="str">
        <f>Textes!A290</f>
        <v>Abgänge</v>
      </c>
      <c r="F125" s="492">
        <f>D125*0.6</f>
        <v>0</v>
      </c>
      <c r="G125" s="437"/>
      <c r="H125" s="437"/>
      <c r="I125" s="438">
        <f>IF(D125&gt;0,Faktoren!$E$7,0)</f>
        <v>0</v>
      </c>
      <c r="J125" s="439">
        <f>IF(D125&gt;0,D125*I125,0)</f>
        <v>0</v>
      </c>
      <c r="K125" s="443">
        <f>SUM(J120:J125)</f>
        <v>0</v>
      </c>
      <c r="L125" s="440"/>
      <c r="M125" s="560">
        <f>IF(MAX(B119:B124)&lt;$I$6,0,VLOOKUP($I$6,B119:G124,6))</f>
        <v>0</v>
      </c>
      <c r="N125" s="454"/>
      <c r="O125" s="557">
        <f>MAX(B119:B124)</f>
        <v>0</v>
      </c>
      <c r="P125" s="553">
        <f>IF(OR($F$6="",I$6="",O125&lt;F$6),99,IF(AND(O125&gt;F$6,O125&lt;I$6),0,1))</f>
        <v>99</v>
      </c>
    </row>
    <row r="126" spans="2:16">
      <c r="B126" s="444"/>
      <c r="C126" s="439"/>
      <c r="D126" s="439">
        <f>IF(D119&gt;0,ROUND(+D125/D119*100,1),0)</f>
        <v>0</v>
      </c>
      <c r="E126" s="437" t="str">
        <f>Textes!A291</f>
        <v>Abgänge in %</v>
      </c>
      <c r="F126" s="437"/>
      <c r="G126" s="445" t="s">
        <v>830</v>
      </c>
      <c r="H126" s="437">
        <f>MAX(H119:H124)</f>
        <v>0</v>
      </c>
      <c r="I126" s="438" t="str">
        <f>Textes!A293</f>
        <v>Tage Stall belegt</v>
      </c>
      <c r="J126" s="439"/>
      <c r="K126" s="437"/>
      <c r="L126" s="440"/>
      <c r="N126" s="553">
        <f>IF(P125=1,$I$6-B119+1,H126)</f>
        <v>0</v>
      </c>
    </row>
    <row r="127" spans="2:16">
      <c r="B127" s="451"/>
      <c r="C127" s="452"/>
      <c r="D127" s="558">
        <f>IF(P125=99,0,IF(P125=0,H126/MAX(H120:H124),IF(P125=1,(H126-(O125-$I$6))/H126,0)))</f>
        <v>0</v>
      </c>
      <c r="E127" s="448" t="str">
        <f>Textes!A292</f>
        <v>Umtriebe</v>
      </c>
      <c r="F127" s="448"/>
      <c r="G127" s="447"/>
      <c r="H127" s="448">
        <f>IF(B131&lt;&gt;0,(B131-O125),0)</f>
        <v>0</v>
      </c>
      <c r="I127" s="449" t="str">
        <f>Textes!A294</f>
        <v>Tage Stall leer</v>
      </c>
      <c r="J127" s="447"/>
      <c r="K127" s="448"/>
      <c r="L127" s="450"/>
    </row>
    <row r="128" spans="2:16">
      <c r="B128" s="442" t="str">
        <f>Textes!A251</f>
        <v>Stall 1</v>
      </c>
      <c r="C128" s="442"/>
      <c r="D128" s="437"/>
      <c r="E128" s="437"/>
      <c r="F128" s="437"/>
      <c r="G128" s="439"/>
      <c r="H128" s="437"/>
      <c r="I128" s="438"/>
      <c r="J128" s="439"/>
      <c r="K128" s="445" t="str">
        <f>Textes!A315</f>
        <v>Seite 3</v>
      </c>
      <c r="L128" s="437"/>
    </row>
    <row r="129" spans="2:16">
      <c r="B129" s="442"/>
      <c r="C129" s="442"/>
      <c r="D129" s="437"/>
      <c r="E129" s="437"/>
      <c r="F129" s="437"/>
      <c r="G129" s="439"/>
      <c r="H129" s="437"/>
      <c r="I129" s="438"/>
      <c r="J129" s="439"/>
      <c r="K129" s="437"/>
      <c r="L129" s="437"/>
    </row>
    <row r="130" spans="2:16" ht="13.5" thickBot="1">
      <c r="B130" s="431" t="str">
        <f>Textes!A283</f>
        <v>Umtrieb 12</v>
      </c>
      <c r="C130" s="432"/>
      <c r="D130" s="433"/>
      <c r="E130" s="433"/>
      <c r="F130" s="433"/>
      <c r="G130" s="433"/>
      <c r="H130" s="433"/>
      <c r="I130" s="434"/>
      <c r="J130" s="435"/>
      <c r="K130" s="433"/>
      <c r="L130" s="436"/>
    </row>
    <row r="131" spans="2:16" ht="13.5" thickBot="1">
      <c r="B131" s="489"/>
      <c r="C131" s="569">
        <f t="shared" ref="C131:C136" si="12">YEAR(B131)</f>
        <v>1900</v>
      </c>
      <c r="D131" s="490"/>
      <c r="E131" s="437" t="str">
        <f>Textes!A284</f>
        <v>Einstallung</v>
      </c>
      <c r="F131" s="551">
        <f>D131*0.04</f>
        <v>0</v>
      </c>
      <c r="G131" s="437">
        <f>IF(D131&gt;0,D131,0)</f>
        <v>0</v>
      </c>
      <c r="H131" s="437"/>
      <c r="I131" s="438"/>
      <c r="J131" s="439"/>
      <c r="K131" s="437"/>
      <c r="L131" s="440"/>
      <c r="M131" s="560">
        <f>IF(OR(B131="",D131=""),0,IF((I$6-B131)=0,1,H131+(I$6-B131)))</f>
        <v>0</v>
      </c>
      <c r="N131" s="561">
        <f>IF(D131="",0,VLOOKUP(M131,Faktoren!$B$16:$D$55,2)/1000)</f>
        <v>0</v>
      </c>
    </row>
    <row r="132" spans="2:16">
      <c r="B132" s="489"/>
      <c r="C132" s="569">
        <f t="shared" si="12"/>
        <v>1900</v>
      </c>
      <c r="D132" s="491"/>
      <c r="E132" s="437" t="str">
        <f>Textes!A285</f>
        <v>1. Schlachtung</v>
      </c>
      <c r="F132" s="491"/>
      <c r="G132" s="437">
        <f>IF(D131-D132&gt;0,D131-D132,0)</f>
        <v>0</v>
      </c>
      <c r="H132" s="437">
        <f>IF(AND(D132&gt;0,B132&gt;0),B132-B131+1,0)</f>
        <v>0</v>
      </c>
      <c r="I132" s="441">
        <f>IF(H132&gt;0,IF(H132&gt;Faktoren!$D$5,Faktoren!$E$4,Faktoren!$E$5),0)</f>
        <v>0</v>
      </c>
      <c r="J132" s="439">
        <f>IF(H132&gt;0,D132*I132,0)</f>
        <v>0</v>
      </c>
      <c r="K132" s="437"/>
      <c r="L132" s="440"/>
      <c r="M132" s="560">
        <f>IF(OR(B132="",D132=""),0,H132+(I$6-B132))</f>
        <v>0</v>
      </c>
      <c r="N132" s="561">
        <f>IF(D132="",0,VLOOKUP(M132,Faktoren!$B$16:$D$55,2)/1000)</f>
        <v>0</v>
      </c>
    </row>
    <row r="133" spans="2:16">
      <c r="B133" s="489"/>
      <c r="C133" s="569">
        <f t="shared" si="12"/>
        <v>1900</v>
      </c>
      <c r="D133" s="492"/>
      <c r="E133" s="437" t="str">
        <f>Textes!A286</f>
        <v>2. Schlachtung</v>
      </c>
      <c r="F133" s="492"/>
      <c r="G133" s="437">
        <f>IF(D131-D132-D133&gt;0,D131-D132-D133,0)</f>
        <v>0</v>
      </c>
      <c r="H133" s="437">
        <f>IF(AND(D133&gt;0,B133&gt;0),B133-B131+1,0)</f>
        <v>0</v>
      </c>
      <c r="I133" s="441">
        <f>IF(H133&gt;0,IF(H133&gt;Faktoren!$D$5,Faktoren!$E$4,Faktoren!$E$5),0)</f>
        <v>0</v>
      </c>
      <c r="J133" s="439">
        <f>IF(H133&gt;0,D133*I133,0)</f>
        <v>0</v>
      </c>
      <c r="K133" s="437"/>
      <c r="L133" s="440"/>
      <c r="M133" s="560">
        <f>IF(OR(B133="",D133=""),0,H133+(I$6-B133))</f>
        <v>0</v>
      </c>
      <c r="N133" s="561">
        <f>IF(D133="",0,VLOOKUP(M133,Faktoren!$B$16:$D$55,2)/1000)</f>
        <v>0</v>
      </c>
    </row>
    <row r="134" spans="2:16">
      <c r="B134" s="489"/>
      <c r="C134" s="569">
        <f t="shared" si="12"/>
        <v>1900</v>
      </c>
      <c r="D134" s="492"/>
      <c r="E134" s="437" t="str">
        <f>Textes!A287</f>
        <v>3. Schlachtung</v>
      </c>
      <c r="F134" s="492"/>
      <c r="G134" s="437">
        <f>IF(D131-D132-D133-D134&gt;0,D131-D132-D133-D134,0)</f>
        <v>0</v>
      </c>
      <c r="H134" s="437">
        <f>IF(AND(D134&gt;0,B134&gt;0),B134-B131+1,0)</f>
        <v>0</v>
      </c>
      <c r="I134" s="441">
        <f>IF(H134&gt;0,IF(H134&gt;Faktoren!$D$5,Faktoren!$E$4,Faktoren!$E$5),0)</f>
        <v>0</v>
      </c>
      <c r="J134" s="439">
        <f>IF(H134&gt;0,D134*I134,0)</f>
        <v>0</v>
      </c>
      <c r="K134" s="437"/>
      <c r="L134" s="440"/>
      <c r="M134" s="560">
        <f>IF(OR(B134="",D134=""),0,H134+(I$6-B134))</f>
        <v>0</v>
      </c>
      <c r="N134" s="561">
        <f>IF(D134="",0,VLOOKUP(M134,Faktoren!$B$16:$D$55,2)/1000)</f>
        <v>0</v>
      </c>
    </row>
    <row r="135" spans="2:16">
      <c r="B135" s="489"/>
      <c r="C135" s="569">
        <f t="shared" si="12"/>
        <v>1900</v>
      </c>
      <c r="D135" s="492"/>
      <c r="E135" s="437" t="str">
        <f>Textes!A288</f>
        <v>4. Schlachtung</v>
      </c>
      <c r="F135" s="492"/>
      <c r="G135" s="437">
        <f>IF(D131-D132-D133-D134-D135&gt;0,D131-D132-D133-D134-D135,0)</f>
        <v>0</v>
      </c>
      <c r="H135" s="437">
        <f>IF(AND(D135&gt;0,B135&gt;0),B135-B131+1,0)</f>
        <v>0</v>
      </c>
      <c r="I135" s="441">
        <f>IF(H135&gt;0,IF(H135&gt;Faktoren!$D$5,Faktoren!$E$4,Faktoren!$E$5),0)</f>
        <v>0</v>
      </c>
      <c r="J135" s="439">
        <f>IF(H135&gt;0,D135*I135,0)</f>
        <v>0</v>
      </c>
      <c r="K135" s="437"/>
      <c r="L135" s="440"/>
      <c r="M135" s="560">
        <f>IF(OR(B135="",D135=""),0,H135+(I$6-B135))</f>
        <v>0</v>
      </c>
      <c r="N135" s="561">
        <f>IF(D135="",0,VLOOKUP(M135,Faktoren!$B$16:$D$55,2)/1000)</f>
        <v>0</v>
      </c>
    </row>
    <row r="136" spans="2:16" ht="13.5" thickBot="1">
      <c r="B136" s="489"/>
      <c r="C136" s="569">
        <f t="shared" si="12"/>
        <v>1900</v>
      </c>
      <c r="D136" s="492"/>
      <c r="E136" s="437" t="str">
        <f>Textes!A289</f>
        <v>5. Schlachtung</v>
      </c>
      <c r="F136" s="492"/>
      <c r="G136" s="437">
        <f>IF(D131-D132-D133-D134-D135-D136&gt;0,D131-D132-D133-D134-D135-D136,0)</f>
        <v>0</v>
      </c>
      <c r="H136" s="437">
        <f>IF(AND(D136&gt;0,B136&gt;0),B136-B131+1,0)</f>
        <v>0</v>
      </c>
      <c r="I136" s="441">
        <f>IF(H136&gt;0,IF(H136&gt;Faktoren!$D$5,Faktoren!$E$4,Faktoren!$E$5),0)</f>
        <v>0</v>
      </c>
      <c r="J136" s="439">
        <f>IF(H136&gt;0,D136*I136,0)</f>
        <v>0</v>
      </c>
      <c r="K136" s="437"/>
      <c r="L136" s="440"/>
      <c r="M136" s="560">
        <f>IF(OR(B136="",D136=""),0,H136+(I$6-B136))</f>
        <v>0</v>
      </c>
      <c r="N136" s="561">
        <f>IF(D136="",0,VLOOKUP(M136,Faktoren!$B$16:$D$55,2)/1000)</f>
        <v>0</v>
      </c>
    </row>
    <row r="137" spans="2:16" ht="13.5" thickBot="1">
      <c r="B137" s="482" t="str">
        <f>E137</f>
        <v>Abgänge</v>
      </c>
      <c r="C137" s="569" t="e">
        <f>Jahr+1</f>
        <v>#VALUE!</v>
      </c>
      <c r="D137" s="437">
        <f>+D131-D132-D133-D136</f>
        <v>0</v>
      </c>
      <c r="E137" s="437" t="str">
        <f>Textes!A290</f>
        <v>Abgänge</v>
      </c>
      <c r="F137" s="492">
        <f>D137*0.6</f>
        <v>0</v>
      </c>
      <c r="G137" s="437"/>
      <c r="H137" s="437"/>
      <c r="I137" s="438">
        <f>IF(D137&gt;0,Faktoren!$E$7,0)</f>
        <v>0</v>
      </c>
      <c r="J137" s="439">
        <f>IF(D137&gt;0,D137*I137,0)</f>
        <v>0</v>
      </c>
      <c r="K137" s="443">
        <f>SUM(J132:J137)</f>
        <v>0</v>
      </c>
      <c r="L137" s="440"/>
      <c r="M137" s="560">
        <f>IF(MAX(B131:B136)&lt;$I$6,0,VLOOKUP($I$6,B131:G136,6))</f>
        <v>0</v>
      </c>
      <c r="N137" s="454"/>
      <c r="O137" s="557">
        <f>MAX(B131:B136)</f>
        <v>0</v>
      </c>
      <c r="P137" s="553">
        <f>IF(OR($F$6="",I$6="",O137&lt;F$6),99,IF(AND(O137&gt;F$6,O137&lt;I$6),0,1))</f>
        <v>99</v>
      </c>
    </row>
    <row r="138" spans="2:16">
      <c r="B138" s="462"/>
      <c r="C138" s="442"/>
      <c r="D138" s="439">
        <f>IF(D131&gt;0,ROUND(+D137/D131*100,1),0)</f>
        <v>0</v>
      </c>
      <c r="E138" s="437" t="str">
        <f>Textes!A291</f>
        <v>Abgänge in %</v>
      </c>
      <c r="F138" s="437"/>
      <c r="G138" s="445" t="s">
        <v>830</v>
      </c>
      <c r="H138" s="437">
        <f>MAX(H131:H136)</f>
        <v>0</v>
      </c>
      <c r="I138" s="438" t="str">
        <f>Textes!A293</f>
        <v>Tage Stall belegt</v>
      </c>
      <c r="J138" s="439"/>
      <c r="K138" s="437"/>
      <c r="L138" s="440"/>
      <c r="N138" s="553">
        <f>IF(P137=1,$I$6-B131+1,H138)</f>
        <v>0</v>
      </c>
    </row>
    <row r="139" spans="2:16">
      <c r="B139" s="451"/>
      <c r="C139" s="452"/>
      <c r="D139" s="558">
        <f>IF(P137=99,0,IF(P137=0,H138/MAX(H132:H136),IF(P137=1,(H138-(O137-$I$6))/H138,0)))</f>
        <v>0</v>
      </c>
      <c r="E139" s="448" t="str">
        <f>Textes!A292</f>
        <v>Umtriebe</v>
      </c>
      <c r="F139" s="448"/>
      <c r="G139" s="455"/>
      <c r="H139" s="448"/>
      <c r="I139" s="449"/>
      <c r="J139" s="447"/>
      <c r="K139" s="455"/>
      <c r="L139" s="450"/>
    </row>
    <row r="140" spans="2:16">
      <c r="B140" s="442"/>
      <c r="C140" s="442"/>
      <c r="D140" s="439"/>
      <c r="E140" s="437"/>
      <c r="F140" s="437"/>
      <c r="G140" s="445"/>
      <c r="H140" s="437"/>
      <c r="I140" s="438"/>
      <c r="J140" s="439"/>
      <c r="K140" s="437"/>
      <c r="L140" s="437"/>
    </row>
    <row r="141" spans="2:16" ht="13.5" thickBot="1">
      <c r="B141" s="456"/>
      <c r="C141" s="456"/>
      <c r="H141" s="437"/>
    </row>
    <row r="142" spans="2:16" ht="13.5" thickBot="1">
      <c r="B142" s="457" t="str">
        <f>Textes!A295</f>
        <v>Durchschnittlicher Bestand in massgebenden Stück</v>
      </c>
      <c r="C142" s="456"/>
      <c r="K142" s="443">
        <f>IF((K137+K125+K115+K105+K95+K85+K75+K63+K53+K43+K33+K23)&gt;0,(K137+K125+K115+K105+K95+K85+K75+K63+K53+K43+K33+K23)/SUM(G144:G155),0)</f>
        <v>0</v>
      </c>
    </row>
    <row r="143" spans="2:16">
      <c r="B143" s="457"/>
      <c r="C143" s="457"/>
      <c r="D143" s="458"/>
      <c r="H143" s="437"/>
      <c r="I143" s="420"/>
    </row>
    <row r="144" spans="2:16" hidden="1">
      <c r="B144" s="459" t="s">
        <v>847</v>
      </c>
      <c r="C144" s="460"/>
      <c r="D144" s="433"/>
      <c r="E144" s="433"/>
      <c r="F144" s="433"/>
      <c r="G144" s="433">
        <f>IF(AND(K23&gt;0,K33&gt;0,K43&gt;0,K53&gt;0,K63&gt;0,K75&gt;0,K85&gt;0,K95&gt;0,K105&gt;0,K115&gt;0,K125&gt;0,K137&gt;0),12,0)</f>
        <v>0</v>
      </c>
      <c r="H144" s="433"/>
      <c r="I144" s="434"/>
      <c r="J144" s="435"/>
      <c r="K144" s="461"/>
    </row>
    <row r="145" spans="2:12" hidden="1">
      <c r="B145" s="462"/>
      <c r="C145" s="442"/>
      <c r="D145" s="437"/>
      <c r="E145" s="437"/>
      <c r="F145" s="437"/>
      <c r="G145" s="437">
        <f>IF(AND(K23&gt;0,K33&gt;0,K43&gt;0,K53&gt;0,K63&gt;0,K75&gt;0,K85&gt;0,K95&gt;0,K105&gt;0,K115&gt;0,K125&gt;0,K137=0),11,0)</f>
        <v>0</v>
      </c>
      <c r="H145" s="437"/>
      <c r="I145" s="438"/>
      <c r="J145" s="439"/>
      <c r="K145" s="463"/>
    </row>
    <row r="146" spans="2:12" hidden="1">
      <c r="B146" s="462"/>
      <c r="C146" s="442"/>
      <c r="D146" s="437"/>
      <c r="E146" s="437"/>
      <c r="F146" s="437"/>
      <c r="G146" s="437">
        <f>IF(AND(K23&gt;0,K33&gt;0,K43&gt;0,K53&gt;0,K63&gt;0,K75&gt;0,K85&gt;0,K95&gt;0,K105&gt;0,K115&gt;0,K125=0,K137=0),10,0)</f>
        <v>0</v>
      </c>
      <c r="H146" s="437"/>
      <c r="I146" s="438"/>
      <c r="J146" s="439"/>
      <c r="K146" s="463"/>
    </row>
    <row r="147" spans="2:12" hidden="1">
      <c r="B147" s="462"/>
      <c r="C147" s="442"/>
      <c r="D147" s="437"/>
      <c r="E147" s="437"/>
      <c r="F147" s="437"/>
      <c r="G147" s="437">
        <f>IF(AND(K23&gt;0,K33&gt;0,K43&gt;0,K53&gt;0,K63&gt;0,K75&gt;0,K85&gt;0,K95&gt;0,K105&gt;0,K115=0,K125=0,K137=0),9,0)</f>
        <v>0</v>
      </c>
      <c r="H147" s="437"/>
      <c r="I147" s="438"/>
      <c r="J147" s="439"/>
      <c r="K147" s="463"/>
    </row>
    <row r="148" spans="2:12" hidden="1">
      <c r="B148" s="462"/>
      <c r="C148" s="442"/>
      <c r="D148" s="437"/>
      <c r="E148" s="437"/>
      <c r="F148" s="437"/>
      <c r="G148" s="437">
        <f>IF(AND(K23&gt;0,K33&gt;0,K43&gt;0,K53&gt;0,K63&gt;0,K75&gt;0,K85&gt;0,K95&gt;0,K105=0,K115=0,K125=0,K137=0),8,0)</f>
        <v>0</v>
      </c>
      <c r="H148" s="437"/>
      <c r="I148" s="438"/>
      <c r="J148" s="439"/>
      <c r="K148" s="463"/>
    </row>
    <row r="149" spans="2:12" hidden="1">
      <c r="B149" s="462"/>
      <c r="C149" s="442"/>
      <c r="D149" s="437"/>
      <c r="E149" s="437"/>
      <c r="F149" s="437"/>
      <c r="G149" s="437">
        <f>IF(AND(K23&gt;0,K33&gt;0,K43&gt;0,K53&gt;0,K63&gt;0,K75&gt;0,K85&gt;0,K95=0,K105=0,K115=0,K125=0,K137=0),7,0)</f>
        <v>0</v>
      </c>
      <c r="H149" s="437"/>
      <c r="I149" s="438"/>
      <c r="J149" s="439"/>
      <c r="K149" s="463"/>
    </row>
    <row r="150" spans="2:12" hidden="1">
      <c r="B150" s="462"/>
      <c r="C150" s="442"/>
      <c r="D150" s="437"/>
      <c r="E150" s="437"/>
      <c r="F150" s="437"/>
      <c r="G150" s="437">
        <f>IF(AND(K23&gt;0,K33&gt;0,K43&gt;0,K53&gt;0,K63&gt;0,K75&gt;0,K85=0,K95=0,K105=0,K115=0,K125=0,K137=0),6,0)</f>
        <v>0</v>
      </c>
      <c r="H150" s="437"/>
      <c r="I150" s="438"/>
      <c r="J150" s="439"/>
      <c r="K150" s="463"/>
    </row>
    <row r="151" spans="2:12" hidden="1">
      <c r="B151" s="462"/>
      <c r="C151" s="442"/>
      <c r="D151" s="437"/>
      <c r="E151" s="437"/>
      <c r="F151" s="437"/>
      <c r="G151" s="437">
        <f>IF(AND(K23&gt;0,K33&gt;0,K43&gt;0,K53&gt;0,K63&gt;0,K75=0,K85=0,K95=0,K105=0,K115=0,K125=0,K137=0),5,0)</f>
        <v>0</v>
      </c>
      <c r="H151" s="437"/>
      <c r="I151" s="438"/>
      <c r="J151" s="439"/>
      <c r="K151" s="463"/>
    </row>
    <row r="152" spans="2:12" hidden="1">
      <c r="B152" s="462"/>
      <c r="C152" s="442"/>
      <c r="D152" s="437"/>
      <c r="E152" s="437"/>
      <c r="F152" s="437"/>
      <c r="G152" s="437">
        <f>IF(AND(K23&gt;0,K33&gt;0,K43&gt;0,K53&gt;0,K63=0,K75=0,K85=0,K95=0,K105=0,K115=0,K125=0,K137=0),4,0)</f>
        <v>0</v>
      </c>
      <c r="H152" s="437"/>
      <c r="I152" s="438"/>
      <c r="J152" s="439"/>
      <c r="K152" s="463"/>
    </row>
    <row r="153" spans="2:12" hidden="1">
      <c r="B153" s="462"/>
      <c r="C153" s="442"/>
      <c r="D153" s="437"/>
      <c r="E153" s="437"/>
      <c r="F153" s="437"/>
      <c r="G153" s="437">
        <f>IF(AND(K23&gt;0,K33&gt;0,K43&gt;0,K53=0,K63=0,K75=0,K85=0,K95=0,K105=0,K115=0,K125=0,K137=0),3,0)</f>
        <v>0</v>
      </c>
      <c r="H153" s="437"/>
      <c r="I153" s="438"/>
      <c r="J153" s="439"/>
      <c r="K153" s="463"/>
    </row>
    <row r="154" spans="2:12" hidden="1">
      <c r="B154" s="462"/>
      <c r="C154" s="442"/>
      <c r="D154" s="437"/>
      <c r="E154" s="437"/>
      <c r="F154" s="437"/>
      <c r="G154" s="437">
        <f>IF(AND(K23&gt;0,K33&gt;0,K43=0,K53=0,K63=0,K75=0,K85=0,K95=0,K105=0,K115=0,K125=0,K137=0),2,0)</f>
        <v>0</v>
      </c>
      <c r="H154" s="437"/>
      <c r="I154" s="438"/>
      <c r="J154" s="439"/>
      <c r="K154" s="463"/>
    </row>
    <row r="155" spans="2:12" hidden="1">
      <c r="B155" s="451"/>
      <c r="C155" s="452"/>
      <c r="D155" s="448"/>
      <c r="E155" s="448"/>
      <c r="F155" s="448"/>
      <c r="G155" s="448">
        <f>IF(AND(K23&gt;0,K33=0,K43=0,K53=0,K63=0,K75=0,K85=0,K95=0,K105=0,K115=0,K125=0,K137=0),1,0)</f>
        <v>0</v>
      </c>
      <c r="H155" s="448"/>
      <c r="I155" s="449"/>
      <c r="J155" s="447"/>
      <c r="K155" s="464"/>
    </row>
    <row r="156" spans="2:12" hidden="1">
      <c r="B156" s="456"/>
      <c r="C156" s="456"/>
      <c r="K156" s="422"/>
      <c r="L156" s="422"/>
    </row>
    <row r="157" spans="2:12" ht="13.5" thickBot="1">
      <c r="B157" s="456"/>
      <c r="C157" s="456"/>
    </row>
    <row r="158" spans="2:12" ht="13.5" thickBot="1">
      <c r="B158" s="457" t="str">
        <f>Textes!A296</f>
        <v>Anzahl Umtriebe</v>
      </c>
      <c r="C158" s="457"/>
      <c r="D158" s="422"/>
      <c r="E158" s="547">
        <f>SUM(D25,D35,D45,D55,D65,D77,D87,D97,D107,D117,D127,D139)</f>
        <v>0</v>
      </c>
      <c r="F158" s="453"/>
      <c r="H158" s="437"/>
      <c r="I158" s="437"/>
      <c r="J158" s="439"/>
    </row>
    <row r="159" spans="2:12" ht="13.5" thickBot="1">
      <c r="B159" s="457"/>
      <c r="C159" s="457"/>
      <c r="D159" s="422"/>
      <c r="E159" s="453"/>
      <c r="F159" s="453"/>
      <c r="H159" s="437"/>
      <c r="I159" s="420"/>
    </row>
    <row r="160" spans="2:12">
      <c r="B160" s="457" t="str">
        <f>Textes!A297</f>
        <v>Belegungsdauer</v>
      </c>
      <c r="C160" s="457"/>
      <c r="D160" s="422"/>
      <c r="E160" s="698">
        <f>IF((H24+H34+H44+H54+H64+H76+H86+H96+H106+H116+H126+H138)&gt;0,(H24+H34+H44+H54+H64+H76+H86+H96+H106+H116+H126+H138)/SUM(G144:G155),0)</f>
        <v>0</v>
      </c>
      <c r="F160" s="458"/>
      <c r="H160" s="420" t="str">
        <f>Textes!A303</f>
        <v>(Durchschnitt, ohne Leerzeit zwischen</v>
      </c>
      <c r="I160" s="420"/>
    </row>
    <row r="161" spans="1:12" ht="13.5" thickBot="1">
      <c r="B161" s="457" t="str">
        <f>Textes!A298</f>
        <v xml:space="preserve"> je Umtrieb</v>
      </c>
      <c r="C161" s="457"/>
      <c r="D161" s="422"/>
      <c r="E161" s="699"/>
      <c r="F161" s="458"/>
      <c r="H161" s="420" t="str">
        <f>Textes!A304</f>
        <v>den Umtrieben)</v>
      </c>
      <c r="I161" s="420"/>
    </row>
    <row r="162" spans="1:12" ht="13.5" thickBot="1">
      <c r="B162" s="457"/>
      <c r="C162" s="457"/>
      <c r="D162" s="422"/>
      <c r="E162" s="458"/>
      <c r="F162" s="458"/>
      <c r="I162" s="420"/>
    </row>
    <row r="163" spans="1:12">
      <c r="B163" s="457" t="str">
        <f>Textes!A299</f>
        <v>Belegungsdauer</v>
      </c>
      <c r="C163" s="457"/>
      <c r="D163" s="697" t="s">
        <v>853</v>
      </c>
      <c r="E163" s="698">
        <f>(N24+N34+N44+N54+N64+N76+N86+N96+N106+N116+N126+N138)</f>
        <v>0</v>
      </c>
      <c r="F163" s="458"/>
      <c r="H163" s="420" t="str">
        <f>Textes!A305</f>
        <v>(Total Tage, ohne Leerzeit zwischen</v>
      </c>
      <c r="I163" s="420"/>
    </row>
    <row r="164" spans="1:12" ht="13.5" thickBot="1">
      <c r="B164" s="457" t="str">
        <f>Textes!A300</f>
        <v>total</v>
      </c>
      <c r="C164" s="457"/>
      <c r="D164" s="697"/>
      <c r="E164" s="699"/>
      <c r="F164" s="458"/>
      <c r="H164" s="420" t="str">
        <f>Textes!A306</f>
        <v>den Umtrieben)</v>
      </c>
      <c r="I164" s="420"/>
    </row>
    <row r="165" spans="1:12" ht="13.5" thickBot="1">
      <c r="B165" s="457"/>
      <c r="C165" s="457"/>
      <c r="D165" s="422"/>
      <c r="E165" s="458"/>
      <c r="F165" s="458"/>
      <c r="I165" s="420"/>
    </row>
    <row r="166" spans="1:12">
      <c r="B166" s="457" t="str">
        <f>Textes!A301</f>
        <v>Minimale jährliche</v>
      </c>
      <c r="C166" s="457"/>
      <c r="D166" s="697" t="s">
        <v>857</v>
      </c>
      <c r="E166" s="700">
        <v>270</v>
      </c>
      <c r="F166" s="465"/>
      <c r="H166" s="420" t="str">
        <f>Textes!A307</f>
        <v>(minimale Belegungsdauer für</v>
      </c>
      <c r="I166" s="420"/>
    </row>
    <row r="167" spans="1:12" ht="13.5" thickBot="1">
      <c r="B167" s="457" t="str">
        <f>Textes!A302</f>
        <v>Belegungsdauer</v>
      </c>
      <c r="C167" s="457"/>
      <c r="D167" s="697"/>
      <c r="E167" s="701"/>
      <c r="F167" s="466"/>
      <c r="H167" s="420" t="str">
        <f>Textes!A308</f>
        <v>für normale Stallnutzung)</v>
      </c>
      <c r="I167" s="420"/>
    </row>
    <row r="168" spans="1:12" ht="13.5" thickBot="1">
      <c r="B168" s="456"/>
      <c r="C168" s="456"/>
    </row>
    <row r="169" spans="1:12" ht="13.5" thickBot="1">
      <c r="A169" s="439"/>
      <c r="B169" s="467"/>
      <c r="C169" s="468"/>
      <c r="D169" s="469"/>
      <c r="E169" s="469"/>
      <c r="F169" s="469"/>
      <c r="G169" s="469"/>
      <c r="H169" s="469"/>
      <c r="I169" s="470"/>
      <c r="J169" s="471"/>
      <c r="K169" s="469"/>
      <c r="L169" s="472"/>
    </row>
    <row r="170" spans="1:12" ht="13.5" thickBot="1">
      <c r="A170" s="439"/>
      <c r="B170" s="473" t="str">
        <f>Textes!A309</f>
        <v>Durchschnittlicher Bestand Stall 1</v>
      </c>
      <c r="C170" s="442"/>
      <c r="D170" s="437"/>
      <c r="E170" s="437"/>
      <c r="F170" s="437"/>
      <c r="G170" s="437"/>
      <c r="H170" s="437"/>
      <c r="I170" s="438"/>
      <c r="J170" s="439"/>
      <c r="K170" s="443">
        <f>IF(E163&gt;=E166,K142,K142/E166*E163)</f>
        <v>0</v>
      </c>
      <c r="L170" s="474"/>
    </row>
    <row r="171" spans="1:12" ht="13.5" thickBot="1">
      <c r="A171" s="439"/>
      <c r="B171" s="475"/>
      <c r="C171" s="476"/>
      <c r="D171" s="477"/>
      <c r="E171" s="477"/>
      <c r="F171" s="477"/>
      <c r="G171" s="477"/>
      <c r="H171" s="477"/>
      <c r="I171" s="478"/>
      <c r="J171" s="479"/>
      <c r="K171" s="477"/>
      <c r="L171" s="480"/>
    </row>
    <row r="172" spans="1:12">
      <c r="A172" s="439"/>
      <c r="B172" s="442" t="str">
        <f>Textes!A312</f>
        <v>entspricht Bestand in GVE</v>
      </c>
      <c r="C172" s="442"/>
      <c r="D172" s="437"/>
      <c r="E172" s="437"/>
      <c r="F172" s="437"/>
      <c r="G172" s="437"/>
      <c r="H172" s="437"/>
      <c r="I172" s="438"/>
      <c r="J172" s="439"/>
      <c r="K172" s="438">
        <f>K170*Faktoren!E10</f>
        <v>0</v>
      </c>
      <c r="L172" s="437"/>
    </row>
    <row r="173" spans="1:12">
      <c r="A173" s="439"/>
      <c r="B173" s="442"/>
      <c r="C173" s="442"/>
      <c r="D173" s="437"/>
      <c r="E173" s="437"/>
      <c r="F173" s="437"/>
      <c r="G173" s="437"/>
      <c r="H173" s="437"/>
      <c r="I173" s="438"/>
      <c r="J173" s="439"/>
      <c r="K173" s="437"/>
      <c r="L173" s="437"/>
    </row>
    <row r="174" spans="1:12" ht="20.25" customHeight="1">
      <c r="B174" s="29" t="str">
        <f>+Textes!A70</f>
        <v>Kantonale Kontrollstelle, Datum:</v>
      </c>
      <c r="C174" s="537"/>
      <c r="D174" s="538"/>
      <c r="E174" s="538"/>
      <c r="F174" s="538"/>
      <c r="G174" s="538"/>
      <c r="H174" s="30" t="str">
        <f>+Textes!A85</f>
        <v>Unterschrift:</v>
      </c>
      <c r="I174" s="539"/>
      <c r="J174" s="540"/>
      <c r="K174" s="541"/>
    </row>
    <row r="175" spans="1:12" ht="4.5" customHeight="1">
      <c r="B175" s="456"/>
      <c r="C175" s="456"/>
    </row>
    <row r="176" spans="1:12" ht="20.25" customHeight="1">
      <c r="B176" s="29" t="str">
        <f>+Textes!A74</f>
        <v>Betriebsleiter, Datum:</v>
      </c>
      <c r="C176" s="540"/>
      <c r="D176" s="538"/>
      <c r="E176" s="538"/>
      <c r="F176" s="538"/>
      <c r="G176" s="538"/>
      <c r="H176" s="30" t="str">
        <f>+Textes!A85</f>
        <v>Unterschrift:</v>
      </c>
      <c r="I176" s="539"/>
      <c r="J176" s="540"/>
      <c r="K176" s="541"/>
    </row>
    <row r="178" spans="2:2">
      <c r="B178" s="481"/>
    </row>
  </sheetData>
  <sheetProtection password="8C69" sheet="1" scenarios="1"/>
  <mergeCells count="5">
    <mergeCell ref="D166:D167"/>
    <mergeCell ref="E160:E161"/>
    <mergeCell ref="E166:E167"/>
    <mergeCell ref="E163:E164"/>
    <mergeCell ref="D163:D164"/>
  </mergeCells>
  <phoneticPr fontId="0" type="noConversion"/>
  <conditionalFormatting sqref="H25 H35 H45 H55 H65 H77 H87 H97 H107 H117 H127">
    <cfRule type="cellIs" dxfId="2" priority="1" stopIfTrue="1" operator="lessThan">
      <formula>0</formula>
    </cfRule>
  </conditionalFormatting>
  <pageMargins left="0.78740157480314965" right="0.6692913385826772" top="0.47244094488188981" bottom="0.47244094488188981" header="0.39370078740157483" footer="0.39370078740157483"/>
  <pageSetup paperSize="9" scale="75" fitToHeight="0" orientation="portrait" r:id="rId1"/>
  <headerFooter alignWithMargins="0">
    <oddFooter>&amp;L&amp;"Arial,Fett"&amp;11AGRIDEA &amp;"Arial,Standard"&amp;9Impex, Version 2.6&amp;R&amp;"Arial,Standard"&amp;9&amp;D / Seite &amp;P</oddFooter>
  </headerFooter>
  <rowBreaks count="2" manualBreakCount="2">
    <brk id="65" max="10" man="1"/>
    <brk id="127"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 Aktualisieren">
              <controlPr defaultSize="0" print="0" autoFill="0" autoLine="0" autoPict="0" macro="[0]!Uebertrag">
                <anchor>
                  <from>
                    <xdr:col>5</xdr:col>
                    <xdr:colOff>304800</xdr:colOff>
                    <xdr:row>1</xdr:row>
                    <xdr:rowOff>85725</xdr:rowOff>
                  </from>
                  <to>
                    <xdr:col>8</xdr:col>
                    <xdr:colOff>304800</xdr:colOff>
                    <xdr:row>1</xdr:row>
                    <xdr:rowOff>447675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6">
    <pageSetUpPr fitToPage="1"/>
  </sheetPr>
  <dimension ref="A1:P178"/>
  <sheetViews>
    <sheetView showGridLines="0" showRowColHeaders="0" showZeros="0" zoomScaleNormal="100" workbookViewId="0">
      <pane ySplit="15" topLeftCell="A16" activePane="bottomLeft" state="frozen"/>
      <selection activeCell="D19" sqref="D19"/>
      <selection pane="bottomLeft" activeCell="B17" sqref="B17"/>
    </sheetView>
  </sheetViews>
  <sheetFormatPr baseColWidth="10" defaultColWidth="11.5703125" defaultRowHeight="12.75"/>
  <cols>
    <col min="1" max="1" width="2.7109375" style="422" customWidth="1"/>
    <col min="2" max="2" width="11.5703125" style="422" customWidth="1"/>
    <col min="3" max="3" width="5.28515625" style="422" customWidth="1"/>
    <col min="4" max="4" width="9.7109375" style="420" customWidth="1"/>
    <col min="5" max="5" width="14.85546875" style="420" customWidth="1"/>
    <col min="6" max="6" width="10.7109375" style="420" customWidth="1"/>
    <col min="7" max="7" width="7.5703125" style="420" hidden="1" customWidth="1"/>
    <col min="8" max="8" width="12.7109375" style="420" customWidth="1"/>
    <col min="9" max="9" width="12.7109375" style="421" customWidth="1"/>
    <col min="10" max="10" width="15.7109375" style="422" customWidth="1"/>
    <col min="11" max="11" width="11.85546875" style="420" bestFit="1" customWidth="1"/>
    <col min="12" max="12" width="2.7109375" style="420" customWidth="1"/>
    <col min="13" max="13" width="9" style="420" hidden="1" customWidth="1"/>
    <col min="14" max="14" width="9.140625" style="422" hidden="1" customWidth="1"/>
    <col min="15" max="15" width="11.28515625" style="552" hidden="1" customWidth="1"/>
    <col min="16" max="16" width="11.5703125" style="553" hidden="1" customWidth="1"/>
    <col min="17" max="16384" width="11.5703125" style="422"/>
  </cols>
  <sheetData>
    <row r="1" spans="2:16" ht="5.0999999999999996" customHeight="1">
      <c r="C1" s="419"/>
      <c r="K1" s="423"/>
    </row>
    <row r="2" spans="2:16" ht="39.950000000000003" customHeight="1">
      <c r="B2" s="419"/>
      <c r="C2" s="419"/>
      <c r="L2" s="545" t="str">
        <f>Textes!A252</f>
        <v>Stall 2</v>
      </c>
    </row>
    <row r="3" spans="2:16">
      <c r="B3" s="425" t="str">
        <f>Textes!A257</f>
        <v>Achtung: Massgebende Periode ist das Kalenderjahr.</v>
      </c>
      <c r="C3" s="419"/>
    </row>
    <row r="4" spans="2:16">
      <c r="B4" s="425" t="str">
        <f>Textes!A258</f>
        <v xml:space="preserve">               Vor der Periode angefangene und nicht innert der Periode abgeschlossene Umtriebe sind ganz zu erfassen!</v>
      </c>
      <c r="C4" s="419"/>
    </row>
    <row r="5" spans="2:16" ht="6" customHeight="1">
      <c r="B5" s="419"/>
      <c r="C5" s="419"/>
    </row>
    <row r="6" spans="2:16">
      <c r="B6" s="425" t="str">
        <f>Textes!A19</f>
        <v>Periode:</v>
      </c>
      <c r="C6" s="424"/>
      <c r="E6" s="485" t="str">
        <f>Textes!A20</f>
        <v>Datum Anfang:</v>
      </c>
      <c r="F6" s="486" t="str">
        <f>IF(Inv!I8=0,"",Inv!I8)</f>
        <v/>
      </c>
      <c r="G6" s="484"/>
      <c r="H6" s="487" t="str">
        <f>Textes!A21</f>
        <v>Datum Ende:</v>
      </c>
      <c r="I6" s="486" t="str">
        <f>IF(Inv!I9=0,"",Inv!I9)</f>
        <v/>
      </c>
      <c r="J6" s="483" t="str">
        <f>Textes!A22</f>
        <v>Dauer in Tagen:</v>
      </c>
      <c r="K6" s="488" t="str">
        <f>IF(OR(F6="",I6=""),"",I6-F6+1)</f>
        <v/>
      </c>
    </row>
    <row r="7" spans="2:16">
      <c r="B7" s="425"/>
      <c r="C7" s="424"/>
      <c r="E7" s="485"/>
      <c r="F7" s="570" t="e">
        <f>YEAR(F6)</f>
        <v>#VALUE!</v>
      </c>
      <c r="G7" s="484"/>
      <c r="H7" s="487"/>
      <c r="I7" s="486"/>
      <c r="J7" s="483"/>
      <c r="K7" s="488"/>
    </row>
    <row r="8" spans="2:16">
      <c r="B8" s="425" t="str">
        <f>+Textes!A9</f>
        <v>Betriebs-Nr:</v>
      </c>
      <c r="C8" s="424"/>
      <c r="E8" s="484" t="str">
        <f>IF(Inv!D4=0,"",Inv!D4)</f>
        <v/>
      </c>
      <c r="F8" s="484"/>
      <c r="G8" s="484"/>
      <c r="H8" s="484"/>
      <c r="I8" s="484"/>
      <c r="J8" s="484"/>
      <c r="K8" s="484"/>
    </row>
    <row r="9" spans="2:16">
      <c r="B9" s="425" t="str">
        <f>+Textes!A10</f>
        <v>Name:</v>
      </c>
      <c r="C9" s="424"/>
      <c r="E9" s="484" t="str">
        <f>IF(Inv!D5=0,"",Inv!D6 &amp; " " &amp; Inv!D5)</f>
        <v/>
      </c>
      <c r="F9" s="484"/>
      <c r="G9" s="484"/>
      <c r="H9" s="484"/>
      <c r="I9" s="484"/>
      <c r="J9" s="484"/>
      <c r="K9" s="484"/>
    </row>
    <row r="10" spans="2:16">
      <c r="B10" s="425" t="str">
        <f>+Textes!A13</f>
        <v>Adresse:</v>
      </c>
      <c r="C10" s="424"/>
      <c r="E10" s="484" t="str">
        <f>IF(Inv!D7=0,"",Inv!D7)</f>
        <v/>
      </c>
      <c r="F10" s="484"/>
      <c r="G10" s="484"/>
      <c r="H10" s="484"/>
      <c r="I10" s="484"/>
      <c r="J10" s="484"/>
      <c r="K10" s="484"/>
    </row>
    <row r="11" spans="2:16">
      <c r="B11" s="425" t="str">
        <f>+Textes!A14</f>
        <v>PLZ, Ort:</v>
      </c>
      <c r="C11" s="424"/>
      <c r="E11" s="484" t="str">
        <f>IF(Inv!D9=0,"",Inv!D9)</f>
        <v/>
      </c>
      <c r="F11" s="484"/>
      <c r="G11" s="484"/>
      <c r="H11" s="484"/>
      <c r="I11" s="484"/>
      <c r="J11" s="484"/>
      <c r="K11" s="484"/>
    </row>
    <row r="12" spans="2:16" ht="4.9000000000000004" customHeight="1">
      <c r="B12" s="425"/>
      <c r="E12" s="426"/>
      <c r="F12" s="426"/>
      <c r="G12" s="426"/>
      <c r="H12" s="426"/>
      <c r="I12" s="427"/>
      <c r="J12" s="52"/>
      <c r="K12" s="426"/>
    </row>
    <row r="13" spans="2:16">
      <c r="B13" s="425"/>
      <c r="C13" s="425"/>
      <c r="D13" s="428"/>
      <c r="E13" s="428"/>
      <c r="F13" s="428"/>
      <c r="G13" s="428"/>
      <c r="H13" s="428">
        <f>Textes!A262</f>
        <v>0</v>
      </c>
      <c r="I13" s="429"/>
      <c r="J13" s="425" t="str">
        <f>Textes!A266</f>
        <v>Anzahl ge-</v>
      </c>
      <c r="K13" s="428" t="str">
        <f>Textes!A269</f>
        <v>Massgebende</v>
      </c>
      <c r="O13" s="554"/>
      <c r="P13" s="553" t="s">
        <v>22</v>
      </c>
    </row>
    <row r="14" spans="2:16">
      <c r="B14" s="425"/>
      <c r="C14" s="425"/>
      <c r="D14" s="428"/>
      <c r="E14" s="428"/>
      <c r="F14" s="428"/>
      <c r="G14" s="428" t="s">
        <v>816</v>
      </c>
      <c r="H14" s="428">
        <f>Textes!A263</f>
        <v>0</v>
      </c>
      <c r="I14" s="428"/>
      <c r="J14" s="425" t="str">
        <f>Textes!A267</f>
        <v>schlachtete</v>
      </c>
      <c r="K14" s="428" t="str">
        <f>Textes!A270</f>
        <v>Anzahl Tiere</v>
      </c>
      <c r="O14" s="552" t="s">
        <v>23</v>
      </c>
      <c r="P14" s="553" t="s">
        <v>24</v>
      </c>
    </row>
    <row r="15" spans="2:16">
      <c r="B15" s="425" t="str">
        <f>Textes!A259</f>
        <v>Datum</v>
      </c>
      <c r="C15" s="425"/>
      <c r="D15" s="428" t="str">
        <f>Textes!A260</f>
        <v>Anzahl Tiere</v>
      </c>
      <c r="E15" s="428"/>
      <c r="F15" s="428" t="str">
        <f>Textes!A261</f>
        <v>kg LG total</v>
      </c>
      <c r="G15" s="428" t="s">
        <v>818</v>
      </c>
      <c r="H15" s="428" t="str">
        <f>Textes!A264</f>
        <v>Masttage</v>
      </c>
      <c r="I15" s="430" t="str">
        <f>Textes!A265</f>
        <v>Faktor</v>
      </c>
      <c r="J15" s="425" t="str">
        <f>Textes!A268</f>
        <v>Tiere x Faktor</v>
      </c>
      <c r="K15" s="428" t="str">
        <f>Textes!A271</f>
        <v>je Umtrieb</v>
      </c>
      <c r="N15" s="420"/>
      <c r="O15" s="555" t="s">
        <v>25</v>
      </c>
      <c r="P15" s="553" t="s">
        <v>26</v>
      </c>
    </row>
    <row r="16" spans="2:16" ht="13.5" thickBot="1">
      <c r="B16" s="431" t="str">
        <f>Textes!A272</f>
        <v>Umtrieb 1</v>
      </c>
      <c r="C16" s="559"/>
      <c r="D16" s="433"/>
      <c r="E16" s="433"/>
      <c r="F16" s="433"/>
      <c r="G16" s="433"/>
      <c r="H16" s="433"/>
      <c r="I16" s="434"/>
      <c r="J16" s="435"/>
      <c r="K16" s="433"/>
      <c r="L16" s="436"/>
    </row>
    <row r="17" spans="2:16" ht="13.5" thickBot="1">
      <c r="B17" s="489"/>
      <c r="C17" s="571">
        <f t="shared" ref="C17:C22" si="0">YEAR(B17)</f>
        <v>1900</v>
      </c>
      <c r="D17" s="490"/>
      <c r="E17" s="437" t="str">
        <f>Textes!A284</f>
        <v>Einstallung</v>
      </c>
      <c r="F17" s="551">
        <f>D17*0.04</f>
        <v>0</v>
      </c>
      <c r="G17" s="437">
        <f>IF(D17&gt;0,D17,0)</f>
        <v>0</v>
      </c>
      <c r="H17" s="437"/>
      <c r="I17" s="438"/>
      <c r="J17" s="439"/>
      <c r="K17" s="437"/>
      <c r="L17" s="440"/>
      <c r="M17" s="560">
        <f t="shared" ref="M17:M22" si="1">IF(OR(B17="",D17=""),0,H17+(F$6-B17)-1)</f>
        <v>0</v>
      </c>
      <c r="N17" s="561">
        <f>IF(D17="",0,IF(M17=0,VLOOKUP(1,Faktoren!$B$16:$D$55,2)/1000,VLOOKUP(M17,Faktoren!$B$16:$D$55,2)/1000))</f>
        <v>0</v>
      </c>
    </row>
    <row r="18" spans="2:16">
      <c r="B18" s="489"/>
      <c r="C18" s="571">
        <f t="shared" si="0"/>
        <v>1900</v>
      </c>
      <c r="D18" s="491"/>
      <c r="E18" s="437" t="str">
        <f>Textes!A285</f>
        <v>1. Schlachtung</v>
      </c>
      <c r="F18" s="491"/>
      <c r="G18" s="437">
        <f>IF(D17-D18&gt;0,D17-D18,0)</f>
        <v>0</v>
      </c>
      <c r="H18" s="437">
        <f>IF(AND(D18&gt;0,B18&gt;0),B18-B17+1,0)</f>
        <v>0</v>
      </c>
      <c r="I18" s="441">
        <f>IF(H18&gt;0,IF(H18&gt;Faktoren!$D$5,Faktoren!$E$4,Faktoren!$E$5),0)</f>
        <v>0</v>
      </c>
      <c r="J18" s="439">
        <f>IF(H18&gt;0,D18*I18,0)</f>
        <v>0</v>
      </c>
      <c r="K18" s="437"/>
      <c r="L18" s="440"/>
      <c r="M18" s="560">
        <f t="shared" si="1"/>
        <v>0</v>
      </c>
      <c r="N18" s="561">
        <f>IF(OR(D18="",M18=0),0,VLOOKUP(M18,Faktoren!$B$16:$D$55,2)/1000)</f>
        <v>0</v>
      </c>
    </row>
    <row r="19" spans="2:16">
      <c r="B19" s="489"/>
      <c r="C19" s="571">
        <f t="shared" si="0"/>
        <v>1900</v>
      </c>
      <c r="D19" s="492"/>
      <c r="E19" s="437" t="str">
        <f>Textes!A286</f>
        <v>2. Schlachtung</v>
      </c>
      <c r="F19" s="492"/>
      <c r="G19" s="437">
        <f>IF(D17-D18-D19&gt;0,D17-D18-D19,0)</f>
        <v>0</v>
      </c>
      <c r="H19" s="437">
        <f>IF(AND(D19&gt;0,B19&gt;0),B19-B17+1,0)</f>
        <v>0</v>
      </c>
      <c r="I19" s="441">
        <f>IF(H19&gt;0,IF(H19&gt;Faktoren!$D$5,Faktoren!$E$4,Faktoren!$E$5),0)</f>
        <v>0</v>
      </c>
      <c r="J19" s="439">
        <f>IF(H19&gt;0,D19*I19,0)</f>
        <v>0</v>
      </c>
      <c r="K19" s="437"/>
      <c r="L19" s="440"/>
      <c r="M19" s="560">
        <f t="shared" si="1"/>
        <v>0</v>
      </c>
      <c r="N19" s="561">
        <f>IF(OR(D19="",M19=0),0,VLOOKUP(M19,Faktoren!$B$16:$D$55,2)/1000)</f>
        <v>0</v>
      </c>
    </row>
    <row r="20" spans="2:16">
      <c r="B20" s="489"/>
      <c r="C20" s="571">
        <f t="shared" si="0"/>
        <v>1900</v>
      </c>
      <c r="D20" s="492"/>
      <c r="E20" s="437" t="str">
        <f>Textes!A287</f>
        <v>3. Schlachtung</v>
      </c>
      <c r="F20" s="492"/>
      <c r="G20" s="437">
        <f>IF(D17-D18-D19-D20&gt;0,D17-D18-D19-D20,0)</f>
        <v>0</v>
      </c>
      <c r="H20" s="437">
        <f>IF(AND(D20&gt;0,B20&gt;0),B20-B17+1,0)</f>
        <v>0</v>
      </c>
      <c r="I20" s="441">
        <f>IF(H20&gt;0,IF(H20&gt;Faktoren!$D$5,Faktoren!$E$4,Faktoren!$E$5),0)</f>
        <v>0</v>
      </c>
      <c r="J20" s="439">
        <f>IF(H20&gt;0,D20*I20,0)</f>
        <v>0</v>
      </c>
      <c r="K20" s="437"/>
      <c r="L20" s="440"/>
      <c r="M20" s="560">
        <f t="shared" si="1"/>
        <v>0</v>
      </c>
      <c r="N20" s="561">
        <f>IF(OR(D20="",M20=0),0,VLOOKUP(M20,Faktoren!$B$16:$D$55,2)/1000)</f>
        <v>0</v>
      </c>
    </row>
    <row r="21" spans="2:16">
      <c r="B21" s="489"/>
      <c r="C21" s="571">
        <f t="shared" si="0"/>
        <v>1900</v>
      </c>
      <c r="D21" s="492"/>
      <c r="E21" s="437" t="str">
        <f>Textes!A288</f>
        <v>4. Schlachtung</v>
      </c>
      <c r="F21" s="492"/>
      <c r="G21" s="437">
        <f>IF(D17-D18-D19-D20-D21&gt;0,D17-D18-D19-D20-D21,0)</f>
        <v>0</v>
      </c>
      <c r="H21" s="437">
        <f>IF(AND(D21&gt;0,B21&gt;0),B21-B17+1,0)</f>
        <v>0</v>
      </c>
      <c r="I21" s="441">
        <f>IF(H21&gt;0,IF(H21&gt;Faktoren!$D$5,Faktoren!$E$4,Faktoren!$E$5),0)</f>
        <v>0</v>
      </c>
      <c r="J21" s="439">
        <f>IF(H21&gt;0,D21*I21,0)</f>
        <v>0</v>
      </c>
      <c r="K21" s="437"/>
      <c r="L21" s="440"/>
      <c r="M21" s="560">
        <f t="shared" si="1"/>
        <v>0</v>
      </c>
      <c r="N21" s="561">
        <f>IF(OR(D21="",M21=0),0,VLOOKUP(M21,Faktoren!$B$16:$D$55,2)/1000)</f>
        <v>0</v>
      </c>
    </row>
    <row r="22" spans="2:16" ht="13.5" thickBot="1">
      <c r="B22" s="489"/>
      <c r="C22" s="571">
        <f t="shared" si="0"/>
        <v>1900</v>
      </c>
      <c r="D22" s="492"/>
      <c r="E22" s="437" t="str">
        <f>Textes!A289</f>
        <v>5. Schlachtung</v>
      </c>
      <c r="F22" s="492"/>
      <c r="G22" s="437">
        <f>IF(D17-D18-D19-D20-D21-D22&gt;0,D17-D18-D19-D20-D21-D22,0)</f>
        <v>0</v>
      </c>
      <c r="H22" s="437">
        <f>IF(AND(D22&gt;0,B22&gt;0),B22-B17+1,0)</f>
        <v>0</v>
      </c>
      <c r="I22" s="441">
        <f>IF(H22&gt;0,IF(H22&gt;Faktoren!$D$5,Faktoren!$E$4,Faktoren!$E$5),0)</f>
        <v>0</v>
      </c>
      <c r="J22" s="439">
        <f>IF(H22&gt;0,D22*I22,0)</f>
        <v>0</v>
      </c>
      <c r="K22" s="437"/>
      <c r="L22" s="440"/>
      <c r="M22" s="560">
        <f t="shared" si="1"/>
        <v>0</v>
      </c>
      <c r="N22" s="561">
        <f>IF(OR(D22="",M22=0),0,VLOOKUP(M22,Faktoren!$B$16:$D$55,2)/1000)</f>
        <v>0</v>
      </c>
    </row>
    <row r="23" spans="2:16" ht="13.5" thickBot="1">
      <c r="B23" s="482" t="str">
        <f>E23</f>
        <v>Abgänge</v>
      </c>
      <c r="C23" s="442"/>
      <c r="D23" s="437">
        <f>+D17-SUM(D18:D22)</f>
        <v>0</v>
      </c>
      <c r="E23" s="437" t="str">
        <f>Textes!A290</f>
        <v>Abgänge</v>
      </c>
      <c r="F23" s="492">
        <f>D23*0.6</f>
        <v>0</v>
      </c>
      <c r="G23" s="437"/>
      <c r="H23" s="437"/>
      <c r="I23" s="438">
        <f>IF(D23&gt;0,Faktoren!$E$7,0)</f>
        <v>0</v>
      </c>
      <c r="J23" s="439">
        <f>IF(D23&gt;0,D23*I23,0)</f>
        <v>0</v>
      </c>
      <c r="K23" s="443">
        <f>SUM(J18:J23)</f>
        <v>0</v>
      </c>
      <c r="L23" s="440"/>
      <c r="M23" s="560">
        <f>IF(B17=F6,G17,IF(MIN(B17:B22)&gt;$F$6,0,VLOOKUP($F$6,B17:G22,6)))</f>
        <v>0</v>
      </c>
      <c r="N23" s="561"/>
      <c r="O23" s="556">
        <f>MAX(B17:B22)</f>
        <v>0</v>
      </c>
      <c r="P23" s="553">
        <f>IF(OR($F$6="",I$6="",O23&lt;F$6),99,IF(AND(B17&gt;=F$6,O23&lt;I$6),0,1))</f>
        <v>99</v>
      </c>
    </row>
    <row r="24" spans="2:16">
      <c r="B24" s="444"/>
      <c r="C24" s="439"/>
      <c r="D24" s="439">
        <f>IF(D17&gt;0,ROUND(+D23/D17*100,1),0)</f>
        <v>0</v>
      </c>
      <c r="E24" s="437" t="str">
        <f>Textes!A291</f>
        <v>Abgänge in %</v>
      </c>
      <c r="F24" s="437"/>
      <c r="G24" s="445" t="s">
        <v>830</v>
      </c>
      <c r="H24" s="437">
        <f>MAX(H17:H22)</f>
        <v>0</v>
      </c>
      <c r="I24" s="438" t="str">
        <f>Textes!A293</f>
        <v>Tage Stall belegt</v>
      </c>
      <c r="J24" s="439"/>
      <c r="K24" s="437"/>
      <c r="L24" s="440"/>
      <c r="N24" s="553">
        <f>IF(P23=1,O23-$F$6+1,H24)</f>
        <v>0</v>
      </c>
    </row>
    <row r="25" spans="2:16">
      <c r="B25" s="446"/>
      <c r="C25" s="447"/>
      <c r="D25" s="558">
        <f>IF(P23=99,0,IF(P23=0,H24/MAX(H18:H22),IF(P23=1,(O23-$F$6)/H24,0)))</f>
        <v>0</v>
      </c>
      <c r="E25" s="448" t="str">
        <f>Textes!A292</f>
        <v>Umtriebe</v>
      </c>
      <c r="F25" s="448"/>
      <c r="G25" s="447"/>
      <c r="H25" s="448">
        <f>IF(B27&lt;&gt;0,(B27-O23),0)</f>
        <v>0</v>
      </c>
      <c r="I25" s="438" t="str">
        <f>Textes!A294</f>
        <v>Tage Stall leer</v>
      </c>
      <c r="J25" s="447"/>
      <c r="K25" s="448"/>
      <c r="L25" s="450"/>
    </row>
    <row r="26" spans="2:16" ht="13.5" thickBot="1">
      <c r="B26" s="431" t="str">
        <f>Textes!A273</f>
        <v>Umtrieb 2</v>
      </c>
      <c r="C26" s="432"/>
      <c r="D26" s="433"/>
      <c r="E26" s="433"/>
      <c r="F26" s="433"/>
      <c r="G26" s="433"/>
      <c r="H26" s="433"/>
      <c r="I26" s="434"/>
      <c r="J26" s="435"/>
      <c r="K26" s="433"/>
      <c r="L26" s="436"/>
    </row>
    <row r="27" spans="2:16" ht="13.5" thickBot="1">
      <c r="B27" s="489"/>
      <c r="C27" s="569">
        <f t="shared" ref="C27:C32" si="2">YEAR(B27)</f>
        <v>1900</v>
      </c>
      <c r="D27" s="490"/>
      <c r="E27" s="437" t="str">
        <f>Textes!A284</f>
        <v>Einstallung</v>
      </c>
      <c r="F27" s="551">
        <f>D27*0.04</f>
        <v>0</v>
      </c>
      <c r="G27" s="437">
        <f>IF(D27&gt;0,D27,0)</f>
        <v>0</v>
      </c>
      <c r="H27" s="437"/>
      <c r="I27" s="438"/>
      <c r="J27" s="439"/>
      <c r="K27" s="437"/>
      <c r="L27" s="440"/>
      <c r="M27" s="560">
        <f>IF(OR(B27="",D27=""),0,IF((I$6-B27)=0,1,H27+(I$6-B27)))</f>
        <v>0</v>
      </c>
      <c r="N27" s="561">
        <f>IF(D27="",0,VLOOKUP(M27,Faktoren!$B$16:$D$55,2)/1000)</f>
        <v>0</v>
      </c>
    </row>
    <row r="28" spans="2:16">
      <c r="B28" s="489"/>
      <c r="C28" s="569">
        <f t="shared" si="2"/>
        <v>1900</v>
      </c>
      <c r="D28" s="491"/>
      <c r="E28" s="437" t="str">
        <f>Textes!A285</f>
        <v>1. Schlachtung</v>
      </c>
      <c r="F28" s="491"/>
      <c r="G28" s="437">
        <f>IF(D27-D28&gt;0,D27-D28,0)</f>
        <v>0</v>
      </c>
      <c r="H28" s="437">
        <f>IF(AND(D28&gt;0,B28&gt;0),B28-B27+1,0)</f>
        <v>0</v>
      </c>
      <c r="I28" s="441">
        <f>IF(H28&gt;0,IF(H28&gt;Faktoren!$D$5,Faktoren!$E$4,Faktoren!$E$5),0)</f>
        <v>0</v>
      </c>
      <c r="J28" s="439">
        <f>IF(H28&gt;0,D28*I28,0)</f>
        <v>0</v>
      </c>
      <c r="K28" s="437"/>
      <c r="L28" s="440"/>
      <c r="M28" s="560">
        <f>IF(OR(B28="",D28=""),0,H28+(I$6-B28))</f>
        <v>0</v>
      </c>
      <c r="N28" s="561">
        <f>IF(D28="",0,VLOOKUP(M28,Faktoren!$B$16:$D$55,2)/1000)</f>
        <v>0</v>
      </c>
    </row>
    <row r="29" spans="2:16">
      <c r="B29" s="489"/>
      <c r="C29" s="569">
        <f t="shared" si="2"/>
        <v>1900</v>
      </c>
      <c r="D29" s="492"/>
      <c r="E29" s="437" t="str">
        <f>Textes!A286</f>
        <v>2. Schlachtung</v>
      </c>
      <c r="F29" s="492"/>
      <c r="G29" s="437">
        <f>IF(D27-D28-D29&gt;0,D27-D28-D29,0)</f>
        <v>0</v>
      </c>
      <c r="H29" s="437">
        <f>IF(AND(D29&gt;0,B29&gt;0),B29-B27+1,0)</f>
        <v>0</v>
      </c>
      <c r="I29" s="441">
        <f>IF(H29&gt;0,IF(H29&gt;Faktoren!$D$5,Faktoren!$E$4,Faktoren!$E$5),0)</f>
        <v>0</v>
      </c>
      <c r="J29" s="439">
        <f>IF(H29&gt;0,D29*I29,0)</f>
        <v>0</v>
      </c>
      <c r="K29" s="437"/>
      <c r="L29" s="440"/>
      <c r="M29" s="560">
        <f>IF(OR(B29="",D29=""),0,H29+(I$6-B29))</f>
        <v>0</v>
      </c>
      <c r="N29" s="561">
        <f>IF(D29="",0,VLOOKUP(M29,Faktoren!$B$16:$D$55,2)/1000)</f>
        <v>0</v>
      </c>
    </row>
    <row r="30" spans="2:16">
      <c r="B30" s="489"/>
      <c r="C30" s="569">
        <f t="shared" si="2"/>
        <v>1900</v>
      </c>
      <c r="D30" s="492"/>
      <c r="E30" s="437" t="str">
        <f>Textes!A287</f>
        <v>3. Schlachtung</v>
      </c>
      <c r="F30" s="492"/>
      <c r="G30" s="437">
        <f>IF(D27-D28-D29-D30&gt;0,D27-D28-D29-D30,0)</f>
        <v>0</v>
      </c>
      <c r="H30" s="437">
        <f>IF(AND(D30&gt;0,B30&gt;0),B30-B27+1,0)</f>
        <v>0</v>
      </c>
      <c r="I30" s="441">
        <f>IF(H30&gt;0,IF(H30&gt;Faktoren!$D$5,Faktoren!$E$4,Faktoren!$E$5),0)</f>
        <v>0</v>
      </c>
      <c r="J30" s="439">
        <f>IF(H30&gt;0,D30*I30,0)</f>
        <v>0</v>
      </c>
      <c r="K30" s="437"/>
      <c r="L30" s="440"/>
      <c r="M30" s="560">
        <f>IF(OR(B30="",D30=""),0,H30+(I$6-B30))</f>
        <v>0</v>
      </c>
      <c r="N30" s="561">
        <f>IF(D30="",0,VLOOKUP(M30,Faktoren!$B$16:$D$55,2)/1000)</f>
        <v>0</v>
      </c>
    </row>
    <row r="31" spans="2:16">
      <c r="B31" s="489"/>
      <c r="C31" s="569">
        <f t="shared" si="2"/>
        <v>1900</v>
      </c>
      <c r="D31" s="492"/>
      <c r="E31" s="437" t="str">
        <f>Textes!A288</f>
        <v>4. Schlachtung</v>
      </c>
      <c r="F31" s="492"/>
      <c r="G31" s="437">
        <f>IF(D27-D28-D29-D30-D31&gt;0,D27-D28-D29-D30-D31,0)</f>
        <v>0</v>
      </c>
      <c r="H31" s="437">
        <f>IF(AND(D31&gt;0,B31&gt;0),B31-B27+1,0)</f>
        <v>0</v>
      </c>
      <c r="I31" s="441">
        <f>IF(H31&gt;0,IF(H31&gt;Faktoren!$D$5,Faktoren!$E$4,Faktoren!$E$5),0)</f>
        <v>0</v>
      </c>
      <c r="J31" s="439">
        <f>IF(H31&gt;0,D31*I31,0)</f>
        <v>0</v>
      </c>
      <c r="K31" s="437"/>
      <c r="L31" s="440"/>
      <c r="M31" s="560">
        <f>IF(OR(B31="",D31=""),0,H31+(I$6-B31))</f>
        <v>0</v>
      </c>
      <c r="N31" s="561">
        <f>IF(D31="",0,VLOOKUP(M31,Faktoren!$B$16:$D$55,2)/1000)</f>
        <v>0</v>
      </c>
    </row>
    <row r="32" spans="2:16" ht="13.5" thickBot="1">
      <c r="B32" s="489"/>
      <c r="C32" s="569">
        <f t="shared" si="2"/>
        <v>1900</v>
      </c>
      <c r="D32" s="492"/>
      <c r="E32" s="437" t="str">
        <f>Textes!A289</f>
        <v>5. Schlachtung</v>
      </c>
      <c r="F32" s="492"/>
      <c r="G32" s="437">
        <f>IF(D27-D28-D29-D30-D31-D32&gt;0,D27-D28-D29-D30-D31-D32,0)</f>
        <v>0</v>
      </c>
      <c r="H32" s="437">
        <f>IF(AND(D32&gt;0,B32&gt;0),B32-B27+1,0)</f>
        <v>0</v>
      </c>
      <c r="I32" s="441">
        <f>IF(H32&gt;0,IF(H32&gt;Faktoren!$D$5,Faktoren!$E$4,Faktoren!$E$5),0)</f>
        <v>0</v>
      </c>
      <c r="J32" s="439">
        <f>IF(H32&gt;0,D32*I32,0)</f>
        <v>0</v>
      </c>
      <c r="K32" s="437"/>
      <c r="L32" s="440"/>
      <c r="M32" s="560">
        <f>IF(OR(B32="",D32=""),0,H32+(I$6-B32))</f>
        <v>0</v>
      </c>
      <c r="N32" s="561">
        <f>IF(D32="",0,VLOOKUP(M32,Faktoren!$B$16:$D$55,2)/1000)</f>
        <v>0</v>
      </c>
    </row>
    <row r="33" spans="2:16" ht="13.5" thickBot="1">
      <c r="B33" s="482" t="str">
        <f>E33</f>
        <v>Abgänge</v>
      </c>
      <c r="C33" s="442"/>
      <c r="D33" s="437">
        <f>+D27-SUM(D28:D32)</f>
        <v>0</v>
      </c>
      <c r="E33" s="437" t="str">
        <f>Textes!A290</f>
        <v>Abgänge</v>
      </c>
      <c r="F33" s="492">
        <f>D33*0.6</f>
        <v>0</v>
      </c>
      <c r="G33" s="437"/>
      <c r="H33" s="437"/>
      <c r="I33" s="438">
        <f>IF(D33&gt;0,Faktoren!$E$7,0)</f>
        <v>0</v>
      </c>
      <c r="J33" s="439">
        <f>IF(D33&gt;0,D33*I33,0)</f>
        <v>0</v>
      </c>
      <c r="K33" s="443">
        <f>SUM(J28:J33)</f>
        <v>0</v>
      </c>
      <c r="L33" s="440"/>
      <c r="M33" s="560">
        <f>IF(MAX(B27:B32)&lt;$I$6,0,VLOOKUP($I$6,B27:G32,6))</f>
        <v>0</v>
      </c>
      <c r="O33" s="557">
        <f>MAX(B27:B32)</f>
        <v>0</v>
      </c>
      <c r="P33" s="553">
        <f>IF(OR($F$6="",I$6="",O33&lt;F$6),99,IF(AND(O33&gt;F$6,O33&lt;I$6),0,1))</f>
        <v>99</v>
      </c>
    </row>
    <row r="34" spans="2:16">
      <c r="B34" s="444"/>
      <c r="C34" s="439"/>
      <c r="D34" s="439">
        <f>IF(D27&gt;0,ROUND(+D33/D27*100,1),0)</f>
        <v>0</v>
      </c>
      <c r="E34" s="437" t="str">
        <f>Textes!A291</f>
        <v>Abgänge in %</v>
      </c>
      <c r="F34" s="437"/>
      <c r="G34" s="445" t="s">
        <v>830</v>
      </c>
      <c r="H34" s="437">
        <f>MAX(H27:H32)</f>
        <v>0</v>
      </c>
      <c r="I34" s="438" t="str">
        <f>Textes!A293</f>
        <v>Tage Stall belegt</v>
      </c>
      <c r="J34" s="439"/>
      <c r="K34" s="437"/>
      <c r="L34" s="440"/>
      <c r="N34" s="553">
        <f>IF(P33=1,$I$6-B27+1,H34)</f>
        <v>0</v>
      </c>
    </row>
    <row r="35" spans="2:16">
      <c r="B35" s="451"/>
      <c r="C35" s="452"/>
      <c r="D35" s="558">
        <f>IF(P33=99,0,IF(P33=0,H34/MAX(H28:H32),IF(P33=1,(H34-(O33-$I$6))/H34,0)))</f>
        <v>0</v>
      </c>
      <c r="E35" s="448" t="str">
        <f>Textes!A292</f>
        <v>Umtriebe</v>
      </c>
      <c r="F35" s="448"/>
      <c r="G35" s="447"/>
      <c r="H35" s="448">
        <f>IF(B37&lt;&gt;0,(B37-O33),0)</f>
        <v>0</v>
      </c>
      <c r="I35" s="438" t="str">
        <f>Textes!A294</f>
        <v>Tage Stall leer</v>
      </c>
      <c r="J35" s="447"/>
      <c r="K35" s="448"/>
      <c r="L35" s="450"/>
    </row>
    <row r="36" spans="2:16" ht="13.5" thickBot="1">
      <c r="B36" s="431" t="str">
        <f>Textes!A274</f>
        <v>Umtrieb 3</v>
      </c>
      <c r="C36" s="432"/>
      <c r="D36" s="433"/>
      <c r="E36" s="433"/>
      <c r="F36" s="433"/>
      <c r="G36" s="433"/>
      <c r="H36" s="433"/>
      <c r="I36" s="434"/>
      <c r="J36" s="435"/>
      <c r="K36" s="433"/>
      <c r="L36" s="436"/>
    </row>
    <row r="37" spans="2:16" ht="13.5" thickBot="1">
      <c r="B37" s="489"/>
      <c r="C37" s="569">
        <f t="shared" ref="C37:C42" si="3">YEAR(B37)</f>
        <v>1900</v>
      </c>
      <c r="D37" s="490"/>
      <c r="E37" s="437" t="str">
        <f>Textes!A284</f>
        <v>Einstallung</v>
      </c>
      <c r="F37" s="551">
        <f>D37*0.04</f>
        <v>0</v>
      </c>
      <c r="G37" s="437">
        <f>IF(D37&gt;0,D37,0)</f>
        <v>0</v>
      </c>
      <c r="H37" s="437"/>
      <c r="I37" s="438"/>
      <c r="J37" s="439"/>
      <c r="K37" s="437"/>
      <c r="L37" s="440"/>
      <c r="M37" s="560">
        <f>IF(OR(B37="",D37=""),0,IF((I$6-B37)=0,1,H37+(I$6-B37)))</f>
        <v>0</v>
      </c>
      <c r="N37" s="561">
        <f>IF(D37="",0,VLOOKUP(M37,Faktoren!$B$16:$D$55,2)/1000)</f>
        <v>0</v>
      </c>
    </row>
    <row r="38" spans="2:16">
      <c r="B38" s="489"/>
      <c r="C38" s="569">
        <f t="shared" si="3"/>
        <v>1900</v>
      </c>
      <c r="D38" s="491"/>
      <c r="E38" s="437" t="str">
        <f>Textes!A285</f>
        <v>1. Schlachtung</v>
      </c>
      <c r="F38" s="491"/>
      <c r="G38" s="437">
        <f>IF(D37-D38&gt;0,D37-D38,0)</f>
        <v>0</v>
      </c>
      <c r="H38" s="437">
        <f>IF(AND(D38&gt;0,B38&gt;0),B38-B37+1,0)</f>
        <v>0</v>
      </c>
      <c r="I38" s="441">
        <f>IF(H38&gt;0,IF(H38&gt;Faktoren!$D$5,Faktoren!$E$4,Faktoren!$E$5),0)</f>
        <v>0</v>
      </c>
      <c r="J38" s="439">
        <f>IF(H38&gt;0,D38*I38,0)</f>
        <v>0</v>
      </c>
      <c r="K38" s="437"/>
      <c r="L38" s="440"/>
      <c r="M38" s="560">
        <f>IF(OR(B38="",D38=""),0,H38+(I$6-B38))</f>
        <v>0</v>
      </c>
      <c r="N38" s="561">
        <f>IF(D38="",0,VLOOKUP(M38,Faktoren!$B$16:$D$55,2)/1000)</f>
        <v>0</v>
      </c>
    </row>
    <row r="39" spans="2:16">
      <c r="B39" s="489"/>
      <c r="C39" s="569">
        <f t="shared" si="3"/>
        <v>1900</v>
      </c>
      <c r="D39" s="492"/>
      <c r="E39" s="437" t="str">
        <f>Textes!A286</f>
        <v>2. Schlachtung</v>
      </c>
      <c r="F39" s="492"/>
      <c r="G39" s="437">
        <f>IF(D37-D38-D39&gt;0,D37-D38-D39,0)</f>
        <v>0</v>
      </c>
      <c r="H39" s="437">
        <f>IF(AND(D39&gt;0,B39&gt;0),B39-B37+1,0)</f>
        <v>0</v>
      </c>
      <c r="I39" s="441">
        <f>IF(H39&gt;0,IF(H39&gt;Faktoren!$D$5,Faktoren!$E$4,Faktoren!$E$5),0)</f>
        <v>0</v>
      </c>
      <c r="J39" s="439">
        <f>IF(H39&gt;0,D39*I39,0)</f>
        <v>0</v>
      </c>
      <c r="K39" s="437"/>
      <c r="L39" s="440"/>
      <c r="M39" s="560">
        <f>IF(OR(B39="",D39=""),0,H39+(I$6-B39))</f>
        <v>0</v>
      </c>
      <c r="N39" s="561">
        <f>IF(D39="",0,VLOOKUP(M39,Faktoren!$B$16:$D$55,2)/1000)</f>
        <v>0</v>
      </c>
    </row>
    <row r="40" spans="2:16">
      <c r="B40" s="489"/>
      <c r="C40" s="569">
        <f t="shared" si="3"/>
        <v>1900</v>
      </c>
      <c r="D40" s="492"/>
      <c r="E40" s="437" t="str">
        <f>Textes!A287</f>
        <v>3. Schlachtung</v>
      </c>
      <c r="F40" s="492"/>
      <c r="G40" s="437">
        <f>IF(D37-D38-D39-D40&gt;0,D37-D38-D39-D40,0)</f>
        <v>0</v>
      </c>
      <c r="H40" s="437">
        <f>IF(AND(D40&gt;0,B40&gt;0),B40-B37+1,0)</f>
        <v>0</v>
      </c>
      <c r="I40" s="441">
        <f>IF(H40&gt;0,IF(H40&gt;Faktoren!$D$5,Faktoren!$E$4,Faktoren!$E$5),0)</f>
        <v>0</v>
      </c>
      <c r="J40" s="439">
        <f>IF(H40&gt;0,D40*I40,0)</f>
        <v>0</v>
      </c>
      <c r="K40" s="437"/>
      <c r="L40" s="440"/>
      <c r="M40" s="560">
        <f>IF(OR(B40="",D40=""),0,H40+(I$6-B40))</f>
        <v>0</v>
      </c>
      <c r="N40" s="561">
        <f>IF(D40="",0,VLOOKUP(M40,Faktoren!$B$16:$D$55,2)/1000)</f>
        <v>0</v>
      </c>
    </row>
    <row r="41" spans="2:16">
      <c r="B41" s="489"/>
      <c r="C41" s="569">
        <f t="shared" si="3"/>
        <v>1900</v>
      </c>
      <c r="D41" s="492"/>
      <c r="E41" s="437" t="str">
        <f>Textes!A288</f>
        <v>4. Schlachtung</v>
      </c>
      <c r="F41" s="492"/>
      <c r="G41" s="437">
        <f>IF(D37-D38-D39-D40-D41&gt;0,D37-D38-D39-D40-D41,0)</f>
        <v>0</v>
      </c>
      <c r="H41" s="437">
        <f>IF(AND(D41&gt;0,B41&gt;0),B41-B37+1,0)</f>
        <v>0</v>
      </c>
      <c r="I41" s="441">
        <f>IF(H41&gt;0,IF(H41&gt;Faktoren!$D$5,Faktoren!$E$4,Faktoren!$E$5),0)</f>
        <v>0</v>
      </c>
      <c r="J41" s="439">
        <f>IF(H41&gt;0,D41*I41,0)</f>
        <v>0</v>
      </c>
      <c r="K41" s="437"/>
      <c r="L41" s="440"/>
      <c r="M41" s="560">
        <f>IF(OR(B41="",D41=""),0,H41+(I$6-B41))</f>
        <v>0</v>
      </c>
      <c r="N41" s="561">
        <f>IF(D41="",0,VLOOKUP(M41,Faktoren!$B$16:$D$55,2)/1000)</f>
        <v>0</v>
      </c>
    </row>
    <row r="42" spans="2:16" ht="13.5" thickBot="1">
      <c r="B42" s="489"/>
      <c r="C42" s="569">
        <f t="shared" si="3"/>
        <v>1900</v>
      </c>
      <c r="D42" s="492"/>
      <c r="E42" s="437" t="str">
        <f>Textes!A289</f>
        <v>5. Schlachtung</v>
      </c>
      <c r="F42" s="492"/>
      <c r="G42" s="437">
        <f>IF(D37-D38-D39-D40-D41-D42&gt;0,D37-D38-D39-D40-D41-D42,0)</f>
        <v>0</v>
      </c>
      <c r="H42" s="437">
        <f>IF(AND(D42&gt;0,B42&gt;0),B42-B37+1,0)</f>
        <v>0</v>
      </c>
      <c r="I42" s="441">
        <f>IF(H42&gt;0,IF(H42&gt;Faktoren!$D$5,Faktoren!$E$4,Faktoren!$E$5),0)</f>
        <v>0</v>
      </c>
      <c r="J42" s="439">
        <f>IF(H42&gt;0,D42*I42,0)</f>
        <v>0</v>
      </c>
      <c r="K42" s="437"/>
      <c r="L42" s="440"/>
      <c r="M42" s="560">
        <f>IF(OR(B42="",D42=""),0,H42+(I$6-B42))</f>
        <v>0</v>
      </c>
      <c r="N42" s="561">
        <f>IF(D42="",0,VLOOKUP(M42,Faktoren!$B$16:$D$55,2)/1000)</f>
        <v>0</v>
      </c>
    </row>
    <row r="43" spans="2:16" ht="13.5" thickBot="1">
      <c r="B43" s="482" t="str">
        <f>E43</f>
        <v>Abgänge</v>
      </c>
      <c r="C43" s="442"/>
      <c r="D43" s="437">
        <f>+D37-SUM(D38:D42)</f>
        <v>0</v>
      </c>
      <c r="E43" s="437" t="str">
        <f>Textes!A290</f>
        <v>Abgänge</v>
      </c>
      <c r="F43" s="492">
        <f>D43*0.6</f>
        <v>0</v>
      </c>
      <c r="G43" s="437"/>
      <c r="H43" s="437"/>
      <c r="I43" s="438">
        <f>IF(D43&gt;0,Faktoren!$E$7,0)</f>
        <v>0</v>
      </c>
      <c r="J43" s="439">
        <f>IF(D43&gt;0,D43*I43,0)</f>
        <v>0</v>
      </c>
      <c r="K43" s="443">
        <f>SUM(J38:J43)</f>
        <v>0</v>
      </c>
      <c r="L43" s="440"/>
      <c r="M43" s="560">
        <f>IF(MAX(B37:B42)&lt;$I$6,0,VLOOKUP($I$6,B37:G42,6))</f>
        <v>0</v>
      </c>
      <c r="O43" s="557">
        <f>MAX(B37:B42)</f>
        <v>0</v>
      </c>
      <c r="P43" s="553">
        <f>IF(OR($F$6="",I$6="",O43&lt;F$6),99,IF(AND(O43&gt;F$6,O43&lt;I$6),0,1))</f>
        <v>99</v>
      </c>
    </row>
    <row r="44" spans="2:16">
      <c r="B44" s="444"/>
      <c r="C44" s="439"/>
      <c r="D44" s="439">
        <f>IF(D37&gt;0,ROUND(+D43/D37*100,1),0)</f>
        <v>0</v>
      </c>
      <c r="E44" s="437" t="str">
        <f>Textes!A291</f>
        <v>Abgänge in %</v>
      </c>
      <c r="F44" s="437"/>
      <c r="G44" s="445" t="s">
        <v>830</v>
      </c>
      <c r="H44" s="437">
        <f>MAX(H37:H42)</f>
        <v>0</v>
      </c>
      <c r="I44" s="438" t="str">
        <f>Textes!A293</f>
        <v>Tage Stall belegt</v>
      </c>
      <c r="J44" s="439"/>
      <c r="K44" s="437"/>
      <c r="L44" s="440"/>
      <c r="N44" s="553">
        <f>IF(P43=1,$I$6-B37+1,H44)</f>
        <v>0</v>
      </c>
    </row>
    <row r="45" spans="2:16">
      <c r="B45" s="451"/>
      <c r="C45" s="452"/>
      <c r="D45" s="558">
        <f>IF(P43=99,0,IF(P43=0,H44/MAX(H38:H42),IF(P43=1,(H44-(O43-$I$6))/H44,0)))</f>
        <v>0</v>
      </c>
      <c r="E45" s="448" t="str">
        <f>Textes!A292</f>
        <v>Umtriebe</v>
      </c>
      <c r="F45" s="448"/>
      <c r="G45" s="447"/>
      <c r="H45" s="448">
        <f>IF(B47&lt;&gt;0,(B47-O43),0)</f>
        <v>0</v>
      </c>
      <c r="I45" s="438" t="str">
        <f>Textes!A294</f>
        <v>Tage Stall leer</v>
      </c>
      <c r="J45" s="447"/>
      <c r="K45" s="448"/>
      <c r="L45" s="450"/>
    </row>
    <row r="46" spans="2:16" ht="13.5" thickBot="1">
      <c r="B46" s="431" t="str">
        <f>Textes!A275</f>
        <v>Umtrieb 4</v>
      </c>
      <c r="C46" s="432"/>
      <c r="D46" s="433"/>
      <c r="E46" s="433"/>
      <c r="F46" s="433"/>
      <c r="G46" s="433"/>
      <c r="H46" s="433"/>
      <c r="I46" s="434"/>
      <c r="J46" s="435"/>
      <c r="K46" s="433"/>
      <c r="L46" s="436"/>
    </row>
    <row r="47" spans="2:16" ht="13.5" thickBot="1">
      <c r="B47" s="489"/>
      <c r="C47" s="569">
        <f t="shared" ref="C47:C52" si="4">YEAR(B47)</f>
        <v>1900</v>
      </c>
      <c r="D47" s="490"/>
      <c r="E47" s="437" t="str">
        <f>Textes!A284</f>
        <v>Einstallung</v>
      </c>
      <c r="F47" s="551">
        <f>D47*0.04</f>
        <v>0</v>
      </c>
      <c r="G47" s="437">
        <f>IF(D47&gt;0,D47,0)</f>
        <v>0</v>
      </c>
      <c r="H47" s="437"/>
      <c r="I47" s="438"/>
      <c r="J47" s="439"/>
      <c r="K47" s="437"/>
      <c r="L47" s="440"/>
      <c r="M47" s="560">
        <f>IF(OR(B47="",D47=""),0,IF((I$6-B47)=0,1,H47+(I$6-B47)))</f>
        <v>0</v>
      </c>
      <c r="N47" s="561">
        <f>IF(D47="",0,VLOOKUP(M47,Faktoren!$B$16:$D$55,2)/1000)</f>
        <v>0</v>
      </c>
    </row>
    <row r="48" spans="2:16">
      <c r="B48" s="489"/>
      <c r="C48" s="569">
        <f t="shared" si="4"/>
        <v>1900</v>
      </c>
      <c r="D48" s="491"/>
      <c r="E48" s="437" t="str">
        <f>Textes!A285</f>
        <v>1. Schlachtung</v>
      </c>
      <c r="F48" s="491"/>
      <c r="G48" s="437">
        <f>IF(D47-D48&gt;0,D47-D48,0)</f>
        <v>0</v>
      </c>
      <c r="H48" s="437">
        <f>IF(AND(D48&gt;0,B48&gt;0),B48-B47+1,0)</f>
        <v>0</v>
      </c>
      <c r="I48" s="441">
        <f>IF(H48&gt;0,IF(H48&gt;Faktoren!$D$5,Faktoren!$E$4,Faktoren!$E$5),0)</f>
        <v>0</v>
      </c>
      <c r="J48" s="439">
        <f>IF(H48&gt;0,D48*I48,0)</f>
        <v>0</v>
      </c>
      <c r="K48" s="437"/>
      <c r="L48" s="440"/>
      <c r="M48" s="560">
        <f>IF(OR(B48="",D48=""),0,H48+(I$6-B48))</f>
        <v>0</v>
      </c>
      <c r="N48" s="561">
        <f>IF(D48="",0,VLOOKUP(M48,Faktoren!$B$16:$D$55,2)/1000)</f>
        <v>0</v>
      </c>
    </row>
    <row r="49" spans="2:16">
      <c r="B49" s="489"/>
      <c r="C49" s="569">
        <f t="shared" si="4"/>
        <v>1900</v>
      </c>
      <c r="D49" s="492"/>
      <c r="E49" s="437" t="str">
        <f>Textes!A286</f>
        <v>2. Schlachtung</v>
      </c>
      <c r="F49" s="492"/>
      <c r="G49" s="437">
        <f>IF(D47-D48-D49&gt;0,D47-D48-D49,0)</f>
        <v>0</v>
      </c>
      <c r="H49" s="437">
        <f>IF(AND(D49&gt;0,B49&gt;0),B49-B47+1,0)</f>
        <v>0</v>
      </c>
      <c r="I49" s="441">
        <f>IF(H49&gt;0,IF(H49&gt;Faktoren!$D$5,Faktoren!$E$4,Faktoren!$E$5),0)</f>
        <v>0</v>
      </c>
      <c r="J49" s="439">
        <f>IF(H49&gt;0,D49*I49,0)</f>
        <v>0</v>
      </c>
      <c r="K49" s="437"/>
      <c r="L49" s="440"/>
      <c r="M49" s="560">
        <f>IF(OR(B49="",D49=""),0,H49+(I$6-B49))</f>
        <v>0</v>
      </c>
      <c r="N49" s="561">
        <f>IF(D49="",0,VLOOKUP(M49,Faktoren!$B$16:$D$55,2)/1000)</f>
        <v>0</v>
      </c>
    </row>
    <row r="50" spans="2:16">
      <c r="B50" s="489"/>
      <c r="C50" s="569">
        <f t="shared" si="4"/>
        <v>1900</v>
      </c>
      <c r="D50" s="492"/>
      <c r="E50" s="437" t="str">
        <f>Textes!A287</f>
        <v>3. Schlachtung</v>
      </c>
      <c r="F50" s="492"/>
      <c r="G50" s="437">
        <f>IF(D47-D48-D49-D50&gt;0,D47-D48-D49-D50,0)</f>
        <v>0</v>
      </c>
      <c r="H50" s="437">
        <f>IF(AND(D50&gt;0,B50&gt;0),B50-B47+1,0)</f>
        <v>0</v>
      </c>
      <c r="I50" s="441">
        <f>IF(H50&gt;0,IF(H50&gt;Faktoren!$D$5,Faktoren!$E$4,Faktoren!$E$5),0)</f>
        <v>0</v>
      </c>
      <c r="J50" s="439">
        <f>IF(H50&gt;0,D50*I50,0)</f>
        <v>0</v>
      </c>
      <c r="K50" s="437"/>
      <c r="L50" s="440"/>
      <c r="M50" s="560">
        <f>IF(OR(B50="",D50=""),0,H50+(I$6-B50))</f>
        <v>0</v>
      </c>
      <c r="N50" s="561">
        <f>IF(D50="",0,VLOOKUP(M50,Faktoren!$B$16:$D$55,2)/1000)</f>
        <v>0</v>
      </c>
    </row>
    <row r="51" spans="2:16">
      <c r="B51" s="489"/>
      <c r="C51" s="569">
        <f t="shared" si="4"/>
        <v>1900</v>
      </c>
      <c r="D51" s="492"/>
      <c r="E51" s="437" t="str">
        <f>Textes!A288</f>
        <v>4. Schlachtung</v>
      </c>
      <c r="F51" s="492"/>
      <c r="G51" s="437">
        <f>IF(D47-D48-D49-D50-D51&gt;0,D47-D48-D49-D50-D51,0)</f>
        <v>0</v>
      </c>
      <c r="H51" s="437">
        <f>IF(AND(D51&gt;0,B51&gt;0),B51-B47+1,0)</f>
        <v>0</v>
      </c>
      <c r="I51" s="441">
        <f>IF(H51&gt;0,IF(H51&gt;Faktoren!$D$5,Faktoren!$E$4,Faktoren!$E$5),0)</f>
        <v>0</v>
      </c>
      <c r="J51" s="439">
        <f>IF(H51&gt;0,D51*I51,0)</f>
        <v>0</v>
      </c>
      <c r="K51" s="437"/>
      <c r="L51" s="440"/>
      <c r="M51" s="560">
        <f>IF(OR(B51="",D51=""),0,H51+(I$6-B51))</f>
        <v>0</v>
      </c>
      <c r="N51" s="561">
        <f>IF(D51="",0,VLOOKUP(M51,Faktoren!$B$16:$D$55,2)/1000)</f>
        <v>0</v>
      </c>
    </row>
    <row r="52" spans="2:16" ht="13.5" thickBot="1">
      <c r="B52" s="489"/>
      <c r="C52" s="569">
        <f t="shared" si="4"/>
        <v>1900</v>
      </c>
      <c r="D52" s="492"/>
      <c r="E52" s="437" t="str">
        <f>Textes!A289</f>
        <v>5. Schlachtung</v>
      </c>
      <c r="F52" s="492"/>
      <c r="G52" s="437">
        <f>IF(D47-D48-D49-D50-D51-D52&gt;0,D47-D48-D49-D50-D51-D52,0)</f>
        <v>0</v>
      </c>
      <c r="H52" s="437">
        <f>IF(AND(D52&gt;0,B52&gt;0),B52-B47+1,0)</f>
        <v>0</v>
      </c>
      <c r="I52" s="441">
        <f>IF(H52&gt;0,IF(H52&gt;Faktoren!$D$5,Faktoren!$E$4,Faktoren!$E$5),0)</f>
        <v>0</v>
      </c>
      <c r="J52" s="439">
        <f>IF(H52&gt;0,D52*I52,0)</f>
        <v>0</v>
      </c>
      <c r="K52" s="437"/>
      <c r="L52" s="440"/>
      <c r="M52" s="560">
        <f>IF(OR(B52="",D52=""),0,H52+(I$6-B52))</f>
        <v>0</v>
      </c>
      <c r="N52" s="561">
        <f>IF(D52="",0,VLOOKUP(M52,Faktoren!$B$16:$D$55,2)/1000)</f>
        <v>0</v>
      </c>
    </row>
    <row r="53" spans="2:16" ht="13.5" thickBot="1">
      <c r="B53" s="482" t="str">
        <f>E53</f>
        <v>Abgänge</v>
      </c>
      <c r="C53" s="442"/>
      <c r="D53" s="437">
        <f>+D47-SUM(D48:D52)</f>
        <v>0</v>
      </c>
      <c r="E53" s="437" t="str">
        <f>Textes!A290</f>
        <v>Abgänge</v>
      </c>
      <c r="F53" s="492">
        <f>D53*0.6</f>
        <v>0</v>
      </c>
      <c r="G53" s="437"/>
      <c r="H53" s="437"/>
      <c r="I53" s="438">
        <f>IF(D53&gt;0,Faktoren!$E$7,0)</f>
        <v>0</v>
      </c>
      <c r="J53" s="439">
        <f>IF(D53&gt;0,D53*I53,0)</f>
        <v>0</v>
      </c>
      <c r="K53" s="443">
        <f>SUM(J48:J53)</f>
        <v>0</v>
      </c>
      <c r="L53" s="440"/>
      <c r="M53" s="560">
        <f>IF(MAX(B47:B52)&lt;$I$6,0,VLOOKUP($I$6,B47:G52,6))</f>
        <v>0</v>
      </c>
      <c r="O53" s="557">
        <f>MAX(B47:B52)</f>
        <v>0</v>
      </c>
      <c r="P53" s="553">
        <f>IF(OR($F$6="",I$6="",O53&lt;F$6),99,IF(AND(O53&gt;F$6,O53&lt;I$6),0,1))</f>
        <v>99</v>
      </c>
    </row>
    <row r="54" spans="2:16">
      <c r="B54" s="444"/>
      <c r="C54" s="439"/>
      <c r="D54" s="439">
        <f>IF(D47&gt;0,ROUND(+D53/D47*100,1),0)</f>
        <v>0</v>
      </c>
      <c r="E54" s="437" t="str">
        <f>Textes!A291</f>
        <v>Abgänge in %</v>
      </c>
      <c r="F54" s="437"/>
      <c r="G54" s="445" t="s">
        <v>830</v>
      </c>
      <c r="H54" s="437">
        <f>MAX(H47:H52)</f>
        <v>0</v>
      </c>
      <c r="I54" s="438" t="str">
        <f>Textes!A293</f>
        <v>Tage Stall belegt</v>
      </c>
      <c r="J54" s="439"/>
      <c r="K54" s="437"/>
      <c r="L54" s="440"/>
      <c r="N54" s="553">
        <f>IF(P53=1,$I$6-B47+1,H54)</f>
        <v>0</v>
      </c>
    </row>
    <row r="55" spans="2:16">
      <c r="B55" s="451"/>
      <c r="C55" s="452"/>
      <c r="D55" s="558">
        <f>IF(P53=99,0,IF(P53=0,H54/MAX(H48:H52),IF(P53=1,(H54-(O53-$I$6))/H54,0)))</f>
        <v>0</v>
      </c>
      <c r="E55" s="448" t="str">
        <f>Textes!A292</f>
        <v>Umtriebe</v>
      </c>
      <c r="F55" s="448"/>
      <c r="G55" s="447"/>
      <c r="H55" s="448">
        <f>IF(B57&lt;&gt;0,(B57-O53),0)</f>
        <v>0</v>
      </c>
      <c r="I55" s="438" t="str">
        <f>Textes!A294</f>
        <v>Tage Stall leer</v>
      </c>
      <c r="J55" s="447"/>
      <c r="K55" s="448"/>
      <c r="L55" s="450"/>
    </row>
    <row r="56" spans="2:16" ht="13.5" thickBot="1">
      <c r="B56" s="431" t="str">
        <f>Textes!A276</f>
        <v>Umtrieb 5</v>
      </c>
      <c r="C56" s="432"/>
      <c r="D56" s="433"/>
      <c r="E56" s="433"/>
      <c r="F56" s="433"/>
      <c r="G56" s="433"/>
      <c r="H56" s="433"/>
      <c r="I56" s="434"/>
      <c r="J56" s="435"/>
      <c r="K56" s="433"/>
      <c r="L56" s="436"/>
    </row>
    <row r="57" spans="2:16" ht="13.5" thickBot="1">
      <c r="B57" s="489"/>
      <c r="C57" s="569">
        <f t="shared" ref="C57:C62" si="5">YEAR(B57)</f>
        <v>1900</v>
      </c>
      <c r="D57" s="490"/>
      <c r="E57" s="437" t="str">
        <f>Textes!A284</f>
        <v>Einstallung</v>
      </c>
      <c r="F57" s="551">
        <f>D57*0.04</f>
        <v>0</v>
      </c>
      <c r="G57" s="437">
        <f>IF(D57&gt;0,D57,0)</f>
        <v>0</v>
      </c>
      <c r="H57" s="437"/>
      <c r="I57" s="438"/>
      <c r="J57" s="439"/>
      <c r="K57" s="437"/>
      <c r="L57" s="440"/>
      <c r="M57" s="560">
        <f>IF(OR(B57="",D57=""),0,IF((I$6-B57)=0,1,H57+(I$6-B57)))</f>
        <v>0</v>
      </c>
      <c r="N57" s="561">
        <f>IF(D57="",0,VLOOKUP(M57,Faktoren!$B$16:$D$55,2)/1000)</f>
        <v>0</v>
      </c>
    </row>
    <row r="58" spans="2:16">
      <c r="B58" s="489"/>
      <c r="C58" s="569">
        <f t="shared" si="5"/>
        <v>1900</v>
      </c>
      <c r="D58" s="491"/>
      <c r="E58" s="437" t="str">
        <f>Textes!A285</f>
        <v>1. Schlachtung</v>
      </c>
      <c r="F58" s="491"/>
      <c r="G58" s="437">
        <f>IF(D57-D58&gt;0,D57-D58,0)</f>
        <v>0</v>
      </c>
      <c r="H58" s="437">
        <f>IF(AND(D58&gt;0,B58&gt;0),B58-B57+1,0)</f>
        <v>0</v>
      </c>
      <c r="I58" s="441">
        <f>IF(H58&gt;0,IF(H58&gt;Faktoren!$D$5,Faktoren!$E$4,Faktoren!$E$5),0)</f>
        <v>0</v>
      </c>
      <c r="J58" s="439">
        <f>IF(H58&gt;0,D58*I58,0)</f>
        <v>0</v>
      </c>
      <c r="K58" s="437"/>
      <c r="L58" s="440"/>
      <c r="M58" s="560">
        <f>IF(OR(B58="",D58=""),0,H58+(I$6-B58))</f>
        <v>0</v>
      </c>
      <c r="N58" s="561">
        <f>IF(D58="",0,VLOOKUP(M58,Faktoren!$B$16:$D$55,2)/1000)</f>
        <v>0</v>
      </c>
    </row>
    <row r="59" spans="2:16">
      <c r="B59" s="489"/>
      <c r="C59" s="569">
        <f t="shared" si="5"/>
        <v>1900</v>
      </c>
      <c r="D59" s="492"/>
      <c r="E59" s="437" t="str">
        <f>Textes!A286</f>
        <v>2. Schlachtung</v>
      </c>
      <c r="F59" s="492"/>
      <c r="G59" s="437">
        <f>IF(D57-D58-D59&gt;0,D57-D58-D59,0)</f>
        <v>0</v>
      </c>
      <c r="H59" s="437">
        <f>IF(AND(D59&gt;0,B59&gt;0),B59-B57+1,0)</f>
        <v>0</v>
      </c>
      <c r="I59" s="441">
        <f>IF(H59&gt;0,IF(H59&gt;Faktoren!$D$5,Faktoren!$E$4,Faktoren!$E$5),0)</f>
        <v>0</v>
      </c>
      <c r="J59" s="439">
        <f>IF(H59&gt;0,D59*I59,0)</f>
        <v>0</v>
      </c>
      <c r="K59" s="437"/>
      <c r="L59" s="440"/>
      <c r="M59" s="560">
        <f>IF(OR(B59="",D59=""),0,H59+(I$6-B59))</f>
        <v>0</v>
      </c>
      <c r="N59" s="561">
        <f>IF(D59="",0,VLOOKUP(M59,Faktoren!$B$16:$D$55,2)/1000)</f>
        <v>0</v>
      </c>
    </row>
    <row r="60" spans="2:16">
      <c r="B60" s="489"/>
      <c r="C60" s="569">
        <f t="shared" si="5"/>
        <v>1900</v>
      </c>
      <c r="D60" s="492"/>
      <c r="E60" s="437" t="str">
        <f>Textes!A287</f>
        <v>3. Schlachtung</v>
      </c>
      <c r="F60" s="492"/>
      <c r="G60" s="437">
        <f>IF(D57-D58-D59-D60&gt;0,D57-D58-D59-D60,0)</f>
        <v>0</v>
      </c>
      <c r="H60" s="437">
        <f>IF(AND(D60&gt;0,B60&gt;0),B60-B57+1,0)</f>
        <v>0</v>
      </c>
      <c r="I60" s="441">
        <f>IF(H60&gt;0,IF(H60&gt;Faktoren!$D$5,Faktoren!$E$4,Faktoren!$E$5),0)</f>
        <v>0</v>
      </c>
      <c r="J60" s="439">
        <f>IF(H60&gt;0,D60*I60,0)</f>
        <v>0</v>
      </c>
      <c r="K60" s="437"/>
      <c r="L60" s="440"/>
      <c r="M60" s="560">
        <f>IF(OR(B60="",D60=""),0,H60+(I$6-B60))</f>
        <v>0</v>
      </c>
      <c r="N60" s="561">
        <f>IF(D60="",0,VLOOKUP(M60,Faktoren!$B$16:$D$55,2)/1000)</f>
        <v>0</v>
      </c>
    </row>
    <row r="61" spans="2:16">
      <c r="B61" s="489"/>
      <c r="C61" s="569">
        <f t="shared" si="5"/>
        <v>1900</v>
      </c>
      <c r="D61" s="492"/>
      <c r="E61" s="437" t="str">
        <f>Textes!A288</f>
        <v>4. Schlachtung</v>
      </c>
      <c r="F61" s="492"/>
      <c r="G61" s="437">
        <f>IF(D57-D58-D59-D60-D61&gt;0,D57-D58-D59-D60-D61,0)</f>
        <v>0</v>
      </c>
      <c r="H61" s="437">
        <f>IF(AND(D61&gt;0,B61&gt;0),B61-B57+1,0)</f>
        <v>0</v>
      </c>
      <c r="I61" s="441">
        <f>IF(H61&gt;0,IF(H61&gt;Faktoren!$D$5,Faktoren!$E$4,Faktoren!$E$5),0)</f>
        <v>0</v>
      </c>
      <c r="J61" s="439">
        <f>IF(H61&gt;0,D61*I61,0)</f>
        <v>0</v>
      </c>
      <c r="K61" s="437"/>
      <c r="L61" s="440"/>
      <c r="M61" s="560">
        <f>IF(OR(B61="",D61=""),0,H61+(I$6-B61))</f>
        <v>0</v>
      </c>
      <c r="N61" s="561">
        <f>IF(D61="",0,VLOOKUP(M61,Faktoren!$B$16:$D$55,2)/1000)</f>
        <v>0</v>
      </c>
    </row>
    <row r="62" spans="2:16" ht="13.5" thickBot="1">
      <c r="B62" s="489"/>
      <c r="C62" s="569">
        <f t="shared" si="5"/>
        <v>1900</v>
      </c>
      <c r="D62" s="492"/>
      <c r="E62" s="437" t="str">
        <f>Textes!A289</f>
        <v>5. Schlachtung</v>
      </c>
      <c r="F62" s="492"/>
      <c r="G62" s="437">
        <f>IF(D57-D58-D59-D60-D61-D62&gt;0,D57-D58-D59-D60-D61-D62,0)</f>
        <v>0</v>
      </c>
      <c r="H62" s="437">
        <f>IF(AND(D62&gt;0,B62&gt;0),B62-B57+1,0)</f>
        <v>0</v>
      </c>
      <c r="I62" s="441">
        <f>IF(H62&gt;0,IF(H62&gt;Faktoren!$D$5,Faktoren!$E$4,Faktoren!$E$5),0)</f>
        <v>0</v>
      </c>
      <c r="J62" s="439">
        <f>IF(H62&gt;0,D62*I62,0)</f>
        <v>0</v>
      </c>
      <c r="K62" s="437"/>
      <c r="L62" s="440"/>
      <c r="M62" s="560">
        <f>IF(OR(B62="",D62=""),0,H62+(I$6-B62))</f>
        <v>0</v>
      </c>
      <c r="N62" s="561">
        <f>IF(D62="",0,VLOOKUP(M62,Faktoren!$B$16:$D$55,2)/1000)</f>
        <v>0</v>
      </c>
      <c r="O62" s="555"/>
    </row>
    <row r="63" spans="2:16" ht="13.5" thickBot="1">
      <c r="B63" s="482" t="str">
        <f>E63</f>
        <v>Abgänge</v>
      </c>
      <c r="C63" s="442"/>
      <c r="D63" s="437">
        <f>+D57-SUM(D58:D62)</f>
        <v>0</v>
      </c>
      <c r="E63" s="437" t="str">
        <f>Textes!A290</f>
        <v>Abgänge</v>
      </c>
      <c r="F63" s="492">
        <f>D63*0.6</f>
        <v>0</v>
      </c>
      <c r="G63" s="437"/>
      <c r="H63" s="437"/>
      <c r="I63" s="438">
        <f>IF(D63&gt;0,Faktoren!$E$7,0)</f>
        <v>0</v>
      </c>
      <c r="J63" s="439">
        <f>IF(D63&gt;0,D63*I63,0)</f>
        <v>0</v>
      </c>
      <c r="K63" s="443">
        <f>SUM(J58:J63)</f>
        <v>0</v>
      </c>
      <c r="L63" s="440"/>
      <c r="M63" s="560">
        <f>IF(MAX(B57:B62)&lt;$I$6,0,VLOOKUP($I$6,B57:G62,6))</f>
        <v>0</v>
      </c>
      <c r="O63" s="557">
        <f>MAX(B57:B62)</f>
        <v>0</v>
      </c>
      <c r="P63" s="553">
        <f>IF(OR($F$6="",I$6="",O63&lt;F$6),99,IF(AND(O63&gt;F$6,O63&lt;I$6),0,1))</f>
        <v>99</v>
      </c>
    </row>
    <row r="64" spans="2:16">
      <c r="B64" s="444"/>
      <c r="C64" s="439"/>
      <c r="D64" s="439">
        <f>IF(D57&gt;0,ROUND(+D63/D57*100,1),0)</f>
        <v>0</v>
      </c>
      <c r="E64" s="437" t="str">
        <f>Textes!A291</f>
        <v>Abgänge in %</v>
      </c>
      <c r="F64" s="437"/>
      <c r="G64" s="445" t="s">
        <v>830</v>
      </c>
      <c r="H64" s="437">
        <f>MAX(H57:H62)</f>
        <v>0</v>
      </c>
      <c r="I64" s="438" t="str">
        <f>Textes!A293</f>
        <v>Tage Stall belegt</v>
      </c>
      <c r="J64" s="439"/>
      <c r="K64" s="437"/>
      <c r="L64" s="440"/>
      <c r="N64" s="553">
        <f>IF(P63=1,$I$6-B57+1,H64)</f>
        <v>0</v>
      </c>
    </row>
    <row r="65" spans="2:16">
      <c r="B65" s="451"/>
      <c r="C65" s="452"/>
      <c r="D65" s="558">
        <f>IF(P63=99,0,IF(P63=0,H64/MAX(H58:H62),IF(P63=1,(H64-(O63-$I$6))/H64,0)))</f>
        <v>0</v>
      </c>
      <c r="E65" s="448" t="str">
        <f>Textes!A292</f>
        <v>Umtriebe</v>
      </c>
      <c r="F65" s="448"/>
      <c r="G65" s="447"/>
      <c r="H65" s="448">
        <f>IF(B69&lt;&gt;0,(B69-O63),0)</f>
        <v>0</v>
      </c>
      <c r="I65" s="449" t="str">
        <f>Textes!A294</f>
        <v>Tage Stall leer</v>
      </c>
      <c r="J65" s="447"/>
      <c r="K65" s="448"/>
      <c r="L65" s="450"/>
    </row>
    <row r="66" spans="2:16">
      <c r="B66" s="442" t="str">
        <f>Textes!A252</f>
        <v>Stall 2</v>
      </c>
      <c r="C66" s="442"/>
      <c r="D66" s="437"/>
      <c r="E66" s="437"/>
      <c r="F66" s="437"/>
      <c r="G66" s="439"/>
      <c r="H66" s="437"/>
      <c r="I66" s="438"/>
      <c r="J66" s="439"/>
      <c r="K66" s="445" t="str">
        <f>Textes!A314</f>
        <v>Seite 2</v>
      </c>
      <c r="L66" s="437"/>
    </row>
    <row r="67" spans="2:16">
      <c r="B67" s="442"/>
      <c r="C67" s="442"/>
      <c r="D67" s="437"/>
      <c r="E67" s="437"/>
      <c r="F67" s="437"/>
      <c r="G67" s="439"/>
      <c r="H67" s="437"/>
      <c r="I67" s="438"/>
      <c r="J67" s="439"/>
      <c r="K67" s="437"/>
      <c r="L67" s="437"/>
    </row>
    <row r="68" spans="2:16" ht="13.5" thickBot="1">
      <c r="B68" s="431" t="str">
        <f>Textes!A277</f>
        <v>Umtrieb 6</v>
      </c>
      <c r="C68" s="432"/>
      <c r="D68" s="433"/>
      <c r="E68" s="433"/>
      <c r="F68" s="433"/>
      <c r="G68" s="433"/>
      <c r="H68" s="433"/>
      <c r="I68" s="434"/>
      <c r="J68" s="435"/>
      <c r="K68" s="433"/>
      <c r="L68" s="436"/>
    </row>
    <row r="69" spans="2:16" ht="13.5" thickBot="1">
      <c r="B69" s="489"/>
      <c r="C69" s="569">
        <f t="shared" ref="C69:C74" si="6">YEAR(B69)</f>
        <v>1900</v>
      </c>
      <c r="D69" s="490"/>
      <c r="E69" s="437" t="str">
        <f>Textes!A284</f>
        <v>Einstallung</v>
      </c>
      <c r="F69" s="551">
        <f>D69*0.04</f>
        <v>0</v>
      </c>
      <c r="G69" s="437">
        <f>IF(D69&gt;0,D69,0)</f>
        <v>0</v>
      </c>
      <c r="H69" s="437"/>
      <c r="I69" s="438"/>
      <c r="J69" s="439"/>
      <c r="K69" s="437"/>
      <c r="L69" s="440"/>
      <c r="M69" s="560">
        <f>IF(OR(B69="",D69=""),0,IF((I$6-B69)=0,1,H69+(I$6-B69)))</f>
        <v>0</v>
      </c>
      <c r="N69" s="561">
        <f>IF(D69="",0,VLOOKUP(M69,Faktoren!$B$16:$D$55,2)/1000)</f>
        <v>0</v>
      </c>
    </row>
    <row r="70" spans="2:16">
      <c r="B70" s="489"/>
      <c r="C70" s="569">
        <f t="shared" si="6"/>
        <v>1900</v>
      </c>
      <c r="D70" s="491"/>
      <c r="E70" s="437" t="str">
        <f>Textes!A285</f>
        <v>1. Schlachtung</v>
      </c>
      <c r="F70" s="491"/>
      <c r="G70" s="437">
        <f>IF(D69-D70&gt;0,D69-D70,0)</f>
        <v>0</v>
      </c>
      <c r="H70" s="437">
        <f>IF(AND(D70&gt;0,B70&gt;0),B70-B69+1,0)</f>
        <v>0</v>
      </c>
      <c r="I70" s="441">
        <f>IF(H70&gt;0,IF(H70&gt;Faktoren!$D$5,Faktoren!$E$4,Faktoren!$E$5),0)</f>
        <v>0</v>
      </c>
      <c r="J70" s="439">
        <f>IF(H70&gt;0,D70*I70,0)</f>
        <v>0</v>
      </c>
      <c r="K70" s="437"/>
      <c r="L70" s="440"/>
      <c r="M70" s="560">
        <f>IF(OR(B70="",D70=""),0,H70+(I$6-B70))</f>
        <v>0</v>
      </c>
      <c r="N70" s="561">
        <f>IF(D70="",0,VLOOKUP(M70,Faktoren!$B$16:$D$55,2)/1000)</f>
        <v>0</v>
      </c>
    </row>
    <row r="71" spans="2:16">
      <c r="B71" s="489"/>
      <c r="C71" s="569">
        <f t="shared" si="6"/>
        <v>1900</v>
      </c>
      <c r="D71" s="492"/>
      <c r="E71" s="437" t="str">
        <f>Textes!A286</f>
        <v>2. Schlachtung</v>
      </c>
      <c r="F71" s="492"/>
      <c r="G71" s="437">
        <f>IF(D69-D70-D71&gt;0,D69-D70-D71,0)</f>
        <v>0</v>
      </c>
      <c r="H71" s="437">
        <f>IF(AND(D71&gt;0,B71&gt;0),B71-B69+1,0)</f>
        <v>0</v>
      </c>
      <c r="I71" s="441">
        <f>IF(H71&gt;0,IF(H71&gt;Faktoren!$D$5,Faktoren!$E$4,Faktoren!$E$5),0)</f>
        <v>0</v>
      </c>
      <c r="J71" s="439">
        <f>IF(H71&gt;0,D71*I71,0)</f>
        <v>0</v>
      </c>
      <c r="K71" s="437"/>
      <c r="L71" s="440"/>
      <c r="M71" s="560">
        <f>IF(OR(B71="",D71=""),0,H71+(I$6-B71))</f>
        <v>0</v>
      </c>
      <c r="N71" s="561">
        <f>IF(D71="",0,VLOOKUP(M71,Faktoren!$B$16:$D$55,2)/1000)</f>
        <v>0</v>
      </c>
    </row>
    <row r="72" spans="2:16">
      <c r="B72" s="489"/>
      <c r="C72" s="569">
        <f t="shared" si="6"/>
        <v>1900</v>
      </c>
      <c r="D72" s="492"/>
      <c r="E72" s="437" t="str">
        <f>Textes!A287</f>
        <v>3. Schlachtung</v>
      </c>
      <c r="F72" s="492"/>
      <c r="G72" s="437">
        <f>IF(D69-D70-D71-D72&gt;0,D69-D70-D71-D72,0)</f>
        <v>0</v>
      </c>
      <c r="H72" s="437">
        <f>IF(AND(D72&gt;0,B72&gt;0),B72-B69+1,0)</f>
        <v>0</v>
      </c>
      <c r="I72" s="441">
        <f>IF(H72&gt;0,IF(H72&gt;Faktoren!$D$5,Faktoren!$E$4,Faktoren!$E$5),0)</f>
        <v>0</v>
      </c>
      <c r="J72" s="439">
        <f>IF(H72&gt;0,D72*I72,0)</f>
        <v>0</v>
      </c>
      <c r="K72" s="437"/>
      <c r="L72" s="440"/>
      <c r="M72" s="560">
        <f>IF(OR(B72="",D72=""),0,H72+(I$6-B72))</f>
        <v>0</v>
      </c>
      <c r="N72" s="561">
        <f>IF(D72="",0,VLOOKUP(M72,Faktoren!$B$16:$D$55,2)/1000)</f>
        <v>0</v>
      </c>
    </row>
    <row r="73" spans="2:16">
      <c r="B73" s="489"/>
      <c r="C73" s="569">
        <f t="shared" si="6"/>
        <v>1900</v>
      </c>
      <c r="D73" s="492"/>
      <c r="E73" s="437" t="str">
        <f>Textes!A288</f>
        <v>4. Schlachtung</v>
      </c>
      <c r="F73" s="492"/>
      <c r="G73" s="437">
        <f>IF(D69-D70-D71-D72-D73&gt;0,D69-D70-D71-D72-D73,0)</f>
        <v>0</v>
      </c>
      <c r="H73" s="437">
        <f>IF(AND(D73&gt;0,B73&gt;0),B73-B69+1,0)</f>
        <v>0</v>
      </c>
      <c r="I73" s="441">
        <f>IF(H73&gt;0,IF(H73&gt;Faktoren!$D$5,Faktoren!$E$4,Faktoren!$E$5),0)</f>
        <v>0</v>
      </c>
      <c r="J73" s="439">
        <f>IF(H73&gt;0,D73*I73,0)</f>
        <v>0</v>
      </c>
      <c r="K73" s="437"/>
      <c r="L73" s="440"/>
      <c r="M73" s="560">
        <f>IF(OR(B73="",D73=""),0,H73+(I$6-B73))</f>
        <v>0</v>
      </c>
      <c r="N73" s="561">
        <f>IF(D73="",0,VLOOKUP(M73,Faktoren!$B$16:$D$55,2)/1000)</f>
        <v>0</v>
      </c>
    </row>
    <row r="74" spans="2:16" ht="13.5" thickBot="1">
      <c r="B74" s="489"/>
      <c r="C74" s="569">
        <f t="shared" si="6"/>
        <v>1900</v>
      </c>
      <c r="D74" s="492"/>
      <c r="E74" s="437" t="str">
        <f>Textes!A289</f>
        <v>5. Schlachtung</v>
      </c>
      <c r="F74" s="492"/>
      <c r="G74" s="437">
        <f>IF(D69-D70-D71-D72-D73-D74&gt;0,D69-D70-D71-D72-D73-D74,0)</f>
        <v>0</v>
      </c>
      <c r="H74" s="437">
        <f>IF(AND(D74&gt;0,B74&gt;0),B74-B69+1,0)</f>
        <v>0</v>
      </c>
      <c r="I74" s="441">
        <f>IF(H74&gt;0,IF(H74&gt;Faktoren!$D$5,Faktoren!$E$4,Faktoren!$E$5),0)</f>
        <v>0</v>
      </c>
      <c r="J74" s="439">
        <f>IF(H74&gt;0,D74*I74,0)</f>
        <v>0</v>
      </c>
      <c r="K74" s="437"/>
      <c r="L74" s="440"/>
      <c r="M74" s="560">
        <f>IF(OR(B74="",D74=""),0,H74+(I$6-B74))</f>
        <v>0</v>
      </c>
      <c r="N74" s="561">
        <f>IF(D74="",0,VLOOKUP(M74,Faktoren!$B$16:$D$55,2)/1000)</f>
        <v>0</v>
      </c>
    </row>
    <row r="75" spans="2:16" ht="13.5" thickBot="1">
      <c r="B75" s="482" t="str">
        <f>E75</f>
        <v>Abgänge</v>
      </c>
      <c r="C75" s="442"/>
      <c r="D75" s="437">
        <f>+D69-SUM(D70:D74)</f>
        <v>0</v>
      </c>
      <c r="E75" s="437" t="str">
        <f>Textes!A290</f>
        <v>Abgänge</v>
      </c>
      <c r="F75" s="492">
        <f>D75*0.6</f>
        <v>0</v>
      </c>
      <c r="G75" s="437"/>
      <c r="H75" s="437"/>
      <c r="I75" s="438">
        <f>IF(D75&gt;0,Faktoren!$E$7,0)</f>
        <v>0</v>
      </c>
      <c r="J75" s="439">
        <f>IF(D75&gt;0,D75*I75,0)</f>
        <v>0</v>
      </c>
      <c r="K75" s="443">
        <f>SUM(J70:J75)</f>
        <v>0</v>
      </c>
      <c r="L75" s="440"/>
      <c r="M75" s="560">
        <f>IF(MAX(B69:B74)&lt;$I$6,0,VLOOKUP($I$6,B69:G74,6))</f>
        <v>0</v>
      </c>
      <c r="O75" s="557">
        <f>MAX(B69:B74)</f>
        <v>0</v>
      </c>
      <c r="P75" s="553">
        <f>IF(OR($F$6="",I$6="",O75&lt;F$6),99,IF(AND(O75&gt;F$6,O75&lt;I$6),0,1))</f>
        <v>99</v>
      </c>
    </row>
    <row r="76" spans="2:16">
      <c r="B76" s="444"/>
      <c r="C76" s="439"/>
      <c r="D76" s="439">
        <f>IF(D69&gt;0,ROUND(+D75/D69*100,1),0)</f>
        <v>0</v>
      </c>
      <c r="E76" s="437" t="str">
        <f>Textes!A291</f>
        <v>Abgänge in %</v>
      </c>
      <c r="F76" s="437"/>
      <c r="G76" s="445" t="s">
        <v>830</v>
      </c>
      <c r="H76" s="437">
        <f>MAX(H69:H74)</f>
        <v>0</v>
      </c>
      <c r="I76" s="438" t="str">
        <f>Textes!A293</f>
        <v>Tage Stall belegt</v>
      </c>
      <c r="J76" s="439"/>
      <c r="K76" s="437"/>
      <c r="L76" s="440"/>
      <c r="N76" s="553">
        <f>IF(P75=1,$I$6-B69+1,H76)</f>
        <v>0</v>
      </c>
    </row>
    <row r="77" spans="2:16">
      <c r="B77" s="451"/>
      <c r="C77" s="452"/>
      <c r="D77" s="558">
        <f>IF(P75=99,0,IF(P75=0,H76/MAX(H70:H74),IF(P75=1,(H76-(O75-$I$6))/H76,0)))</f>
        <v>0</v>
      </c>
      <c r="E77" s="448" t="str">
        <f>Textes!A292</f>
        <v>Umtriebe</v>
      </c>
      <c r="F77" s="448"/>
      <c r="G77" s="447"/>
      <c r="H77" s="448">
        <f>IF(B79&lt;&gt;0,(B79-O75),0)</f>
        <v>0</v>
      </c>
      <c r="I77" s="438" t="str">
        <f>Textes!A294</f>
        <v>Tage Stall leer</v>
      </c>
      <c r="J77" s="447"/>
      <c r="K77" s="448"/>
      <c r="L77" s="450"/>
    </row>
    <row r="78" spans="2:16" ht="13.5" thickBot="1">
      <c r="B78" s="431" t="str">
        <f>Textes!A278</f>
        <v>Umtrieb 7</v>
      </c>
      <c r="C78" s="432"/>
      <c r="D78" s="433"/>
      <c r="E78" s="433"/>
      <c r="F78" s="433"/>
      <c r="G78" s="433"/>
      <c r="H78" s="433"/>
      <c r="I78" s="434"/>
      <c r="J78" s="435"/>
      <c r="K78" s="433"/>
      <c r="L78" s="436"/>
    </row>
    <row r="79" spans="2:16" ht="13.5" thickBot="1">
      <c r="B79" s="489"/>
      <c r="C79" s="569">
        <f t="shared" ref="C79:C84" si="7">YEAR(B79)</f>
        <v>1900</v>
      </c>
      <c r="D79" s="490"/>
      <c r="E79" s="437" t="str">
        <f>Textes!A284</f>
        <v>Einstallung</v>
      </c>
      <c r="F79" s="551">
        <f>D79*0.04</f>
        <v>0</v>
      </c>
      <c r="G79" s="437">
        <f>IF(D79&gt;0,D79,0)</f>
        <v>0</v>
      </c>
      <c r="H79" s="437"/>
      <c r="I79" s="438"/>
      <c r="J79" s="439"/>
      <c r="K79" s="437"/>
      <c r="L79" s="440"/>
      <c r="M79" s="560">
        <f>IF(OR(B79="",D79=""),0,IF((I$6-B79)=0,1,H79+(I$6-B79)))</f>
        <v>0</v>
      </c>
      <c r="N79" s="561">
        <f>IF(D79="",0,VLOOKUP(M79,Faktoren!$B$16:$D$55,2)/1000)</f>
        <v>0</v>
      </c>
    </row>
    <row r="80" spans="2:16">
      <c r="B80" s="489"/>
      <c r="C80" s="569">
        <f t="shared" si="7"/>
        <v>1900</v>
      </c>
      <c r="D80" s="491"/>
      <c r="E80" s="437" t="str">
        <f>Textes!A285</f>
        <v>1. Schlachtung</v>
      </c>
      <c r="F80" s="491"/>
      <c r="G80" s="437">
        <f>IF(D79-D80&gt;0,D79-D80,0)</f>
        <v>0</v>
      </c>
      <c r="H80" s="437">
        <f>IF(AND(D80&gt;0,B80&gt;0),B80-B79+1,0)</f>
        <v>0</v>
      </c>
      <c r="I80" s="441">
        <f>IF(H80&gt;0,IF(H80&gt;Faktoren!$D$5,Faktoren!$E$4,Faktoren!$E$5),0)</f>
        <v>0</v>
      </c>
      <c r="J80" s="439">
        <f>IF(H80&gt;0,D80*I80,0)</f>
        <v>0</v>
      </c>
      <c r="K80" s="437"/>
      <c r="L80" s="440"/>
      <c r="M80" s="560">
        <f>IF(OR(B80="",D80=""),0,H80+(I$6-B80))</f>
        <v>0</v>
      </c>
      <c r="N80" s="561">
        <f>IF(D80="",0,VLOOKUP(M80,Faktoren!$B$16:$D$55,2)/1000)</f>
        <v>0</v>
      </c>
    </row>
    <row r="81" spans="2:16">
      <c r="B81" s="489"/>
      <c r="C81" s="569">
        <f t="shared" si="7"/>
        <v>1900</v>
      </c>
      <c r="D81" s="492"/>
      <c r="E81" s="437" t="str">
        <f>Textes!A286</f>
        <v>2. Schlachtung</v>
      </c>
      <c r="F81" s="492"/>
      <c r="G81" s="437">
        <f>IF(D79-D80-D81&gt;0,D79-D80-D81,0)</f>
        <v>0</v>
      </c>
      <c r="H81" s="437">
        <f>IF(AND(D81&gt;0,B81&gt;0),B81-B79+1,0)</f>
        <v>0</v>
      </c>
      <c r="I81" s="441">
        <f>IF(H81&gt;0,IF(H81&gt;Faktoren!$D$5,Faktoren!$E$4,Faktoren!$E$5),0)</f>
        <v>0</v>
      </c>
      <c r="J81" s="439">
        <f>IF(H81&gt;0,D81*I81,0)</f>
        <v>0</v>
      </c>
      <c r="K81" s="437"/>
      <c r="L81" s="440"/>
      <c r="M81" s="560">
        <f>IF(OR(B81="",D81=""),0,H81+(I$6-B81))</f>
        <v>0</v>
      </c>
      <c r="N81" s="561">
        <f>IF(D81="",0,VLOOKUP(M81,Faktoren!$B$16:$D$55,2)/1000)</f>
        <v>0</v>
      </c>
    </row>
    <row r="82" spans="2:16">
      <c r="B82" s="489"/>
      <c r="C82" s="569">
        <f t="shared" si="7"/>
        <v>1900</v>
      </c>
      <c r="D82" s="492"/>
      <c r="E82" s="437" t="str">
        <f>Textes!A287</f>
        <v>3. Schlachtung</v>
      </c>
      <c r="F82" s="492"/>
      <c r="G82" s="437">
        <f>IF(D79-D80-D81-D82&gt;0,D79-D80-D81-D82,0)</f>
        <v>0</v>
      </c>
      <c r="H82" s="437">
        <f>IF(AND(D82&gt;0,B82&gt;0),B82-B79+1,0)</f>
        <v>0</v>
      </c>
      <c r="I82" s="441">
        <f>IF(H82&gt;0,IF(H82&gt;Faktoren!$D$5,Faktoren!$E$4,Faktoren!$E$5),0)</f>
        <v>0</v>
      </c>
      <c r="J82" s="439">
        <f>IF(H82&gt;0,D82*I82,0)</f>
        <v>0</v>
      </c>
      <c r="K82" s="437"/>
      <c r="L82" s="440"/>
      <c r="M82" s="560">
        <f>IF(OR(B82="",D82=""),0,H82+(I$6-B82))</f>
        <v>0</v>
      </c>
      <c r="N82" s="561">
        <f>IF(D82="",0,VLOOKUP(M82,Faktoren!$B$16:$D$55,2)/1000)</f>
        <v>0</v>
      </c>
    </row>
    <row r="83" spans="2:16">
      <c r="B83" s="489"/>
      <c r="C83" s="569">
        <f t="shared" si="7"/>
        <v>1900</v>
      </c>
      <c r="D83" s="492"/>
      <c r="E83" s="437" t="str">
        <f>Textes!A288</f>
        <v>4. Schlachtung</v>
      </c>
      <c r="F83" s="492"/>
      <c r="G83" s="437">
        <f>IF(D79-D80-D81-D82-D83&gt;0,D79-D80-D81-D82-D83,0)</f>
        <v>0</v>
      </c>
      <c r="H83" s="437">
        <f>IF(AND(D83&gt;0,B83&gt;0),B83-B79+1,0)</f>
        <v>0</v>
      </c>
      <c r="I83" s="441">
        <f>IF(H83&gt;0,IF(H83&gt;Faktoren!$D$5,Faktoren!$E$4,Faktoren!$E$5),0)</f>
        <v>0</v>
      </c>
      <c r="J83" s="439">
        <f>IF(H83&gt;0,D83*I83,0)</f>
        <v>0</v>
      </c>
      <c r="K83" s="437"/>
      <c r="L83" s="440"/>
      <c r="M83" s="560">
        <f>IF(OR(B83="",D83=""),0,H83+(I$6-B83))</f>
        <v>0</v>
      </c>
      <c r="N83" s="561">
        <f>IF(D83="",0,VLOOKUP(M83,Faktoren!$B$16:$D$55,2)/1000)</f>
        <v>0</v>
      </c>
    </row>
    <row r="84" spans="2:16" ht="13.5" thickBot="1">
      <c r="B84" s="489"/>
      <c r="C84" s="569">
        <f t="shared" si="7"/>
        <v>1900</v>
      </c>
      <c r="D84" s="492"/>
      <c r="E84" s="437" t="str">
        <f>Textes!A289</f>
        <v>5. Schlachtung</v>
      </c>
      <c r="F84" s="492"/>
      <c r="G84" s="437">
        <f>IF(D79-D80-D81-D82-D83-D84&gt;0,D79-D80-D81-D82-D83-D84,0)</f>
        <v>0</v>
      </c>
      <c r="H84" s="437">
        <f>IF(AND(D84&gt;0,B84&gt;0),B84-B79+1,0)</f>
        <v>0</v>
      </c>
      <c r="I84" s="441">
        <f>IF(H84&gt;0,IF(H84&gt;Faktoren!$D$5,Faktoren!$E$4,Faktoren!$E$5),0)</f>
        <v>0</v>
      </c>
      <c r="J84" s="439">
        <f>IF(H84&gt;0,D84*I84,0)</f>
        <v>0</v>
      </c>
      <c r="K84" s="437"/>
      <c r="L84" s="440"/>
      <c r="M84" s="560">
        <f>IF(OR(B84="",D84=""),0,H84+(I$6-B84))</f>
        <v>0</v>
      </c>
      <c r="N84" s="561">
        <f>IF(D84="",0,VLOOKUP(M84,Faktoren!$B$16:$D$55,2)/1000)</f>
        <v>0</v>
      </c>
    </row>
    <row r="85" spans="2:16" ht="13.5" thickBot="1">
      <c r="B85" s="482" t="str">
        <f>E85</f>
        <v>Abgänge</v>
      </c>
      <c r="C85" s="442"/>
      <c r="D85" s="437">
        <f>+D79-SUM(D80:D84)</f>
        <v>0</v>
      </c>
      <c r="E85" s="437" t="str">
        <f>Textes!A290</f>
        <v>Abgänge</v>
      </c>
      <c r="F85" s="492">
        <f>D85*0.6</f>
        <v>0</v>
      </c>
      <c r="G85" s="437"/>
      <c r="H85" s="437"/>
      <c r="I85" s="438">
        <f>IF(D85&gt;0,Faktoren!$E$7,0)</f>
        <v>0</v>
      </c>
      <c r="J85" s="439">
        <f>IF(D85&gt;0,D85*I85,0)</f>
        <v>0</v>
      </c>
      <c r="K85" s="443">
        <f>SUM(J80:J85)</f>
        <v>0</v>
      </c>
      <c r="L85" s="440"/>
      <c r="M85" s="560">
        <f>IF(MAX(B79:B84)&lt;$I$6,0,VLOOKUP($I$6,B79:G84,6))</f>
        <v>0</v>
      </c>
      <c r="O85" s="557">
        <f>MAX(B79:B84)</f>
        <v>0</v>
      </c>
      <c r="P85" s="553">
        <f>IF(OR($F$6="",I$6="",O85&lt;F$6),99,IF(AND(O85&gt;F$6,O85&lt;I$6),0,1))</f>
        <v>99</v>
      </c>
    </row>
    <row r="86" spans="2:16">
      <c r="B86" s="444"/>
      <c r="C86" s="439"/>
      <c r="D86" s="439">
        <f>IF(D79&gt;0,ROUND(+D85/D79*100,1),0)</f>
        <v>0</v>
      </c>
      <c r="E86" s="437" t="str">
        <f>Textes!A291</f>
        <v>Abgänge in %</v>
      </c>
      <c r="F86" s="437"/>
      <c r="G86" s="445" t="s">
        <v>830</v>
      </c>
      <c r="H86" s="437">
        <f>MAX(H79:H84)</f>
        <v>0</v>
      </c>
      <c r="I86" s="438" t="str">
        <f>Textes!A293</f>
        <v>Tage Stall belegt</v>
      </c>
      <c r="J86" s="439"/>
      <c r="K86" s="437"/>
      <c r="L86" s="440"/>
      <c r="M86" s="437"/>
      <c r="N86" s="553">
        <f>IF(P85=1,$I$6-B79+1,H86)</f>
        <v>0</v>
      </c>
    </row>
    <row r="87" spans="2:16">
      <c r="B87" s="451"/>
      <c r="C87" s="452"/>
      <c r="D87" s="558">
        <f>IF(P85=99,0,IF(P85=0,H86/MAX(H80:H84),IF(P85=1,(H86-(O85-$I$6))/H86,0)))</f>
        <v>0</v>
      </c>
      <c r="E87" s="448" t="str">
        <f>Textes!A292</f>
        <v>Umtriebe</v>
      </c>
      <c r="F87" s="448"/>
      <c r="G87" s="447"/>
      <c r="H87" s="448">
        <f>IF(B89&lt;&gt;0,(B89-O85),0)</f>
        <v>0</v>
      </c>
      <c r="I87" s="438" t="str">
        <f>Textes!A294</f>
        <v>Tage Stall leer</v>
      </c>
      <c r="J87" s="447"/>
      <c r="K87" s="448"/>
      <c r="L87" s="450"/>
    </row>
    <row r="88" spans="2:16" ht="13.5" thickBot="1">
      <c r="B88" s="431" t="str">
        <f>Textes!A279</f>
        <v>Umtrieb 8</v>
      </c>
      <c r="C88" s="432"/>
      <c r="D88" s="433"/>
      <c r="E88" s="433"/>
      <c r="F88" s="433"/>
      <c r="G88" s="433"/>
      <c r="H88" s="433"/>
      <c r="I88" s="434"/>
      <c r="J88" s="435"/>
      <c r="K88" s="433"/>
      <c r="L88" s="436"/>
    </row>
    <row r="89" spans="2:16" ht="13.5" thickBot="1">
      <c r="B89" s="489"/>
      <c r="C89" s="569">
        <f t="shared" ref="C89:C94" si="8">YEAR(B89)</f>
        <v>1900</v>
      </c>
      <c r="D89" s="490"/>
      <c r="E89" s="437" t="str">
        <f>Textes!A284</f>
        <v>Einstallung</v>
      </c>
      <c r="F89" s="551">
        <f>D89*0.04</f>
        <v>0</v>
      </c>
      <c r="G89" s="437">
        <f>IF(D89&gt;0,D89,0)</f>
        <v>0</v>
      </c>
      <c r="H89" s="437"/>
      <c r="I89" s="438"/>
      <c r="J89" s="439"/>
      <c r="K89" s="437"/>
      <c r="L89" s="440"/>
      <c r="M89" s="560">
        <f>IF(OR(B89="",D89=""),0,IF((I$6-B89)=0,1,H89+(I$6-B89)))</f>
        <v>0</v>
      </c>
      <c r="N89" s="561">
        <f>IF(D89="",0,VLOOKUP(M89,Faktoren!$B$16:$D$55,2)/1000)</f>
        <v>0</v>
      </c>
    </row>
    <row r="90" spans="2:16">
      <c r="B90" s="489"/>
      <c r="C90" s="569">
        <f t="shared" si="8"/>
        <v>1900</v>
      </c>
      <c r="D90" s="491"/>
      <c r="E90" s="437" t="str">
        <f>Textes!A285</f>
        <v>1. Schlachtung</v>
      </c>
      <c r="F90" s="491"/>
      <c r="G90" s="437">
        <f>IF(D89-D90&gt;0,D89-D90,0)</f>
        <v>0</v>
      </c>
      <c r="H90" s="437">
        <f>IF(AND(D90&gt;0,B90&gt;0),B90-B89+1,0)</f>
        <v>0</v>
      </c>
      <c r="I90" s="441">
        <f>IF(H90&gt;0,IF(H90&gt;Faktoren!$D$5,Faktoren!$E$4,Faktoren!$E$5),0)</f>
        <v>0</v>
      </c>
      <c r="J90" s="439">
        <f>IF(H90&gt;0,D90*I90,0)</f>
        <v>0</v>
      </c>
      <c r="K90" s="437"/>
      <c r="L90" s="440"/>
      <c r="M90" s="560">
        <f>IF(OR(B90="",D90=""),0,H90+(I$6-B90))</f>
        <v>0</v>
      </c>
      <c r="N90" s="561">
        <f>IF(D90="",0,VLOOKUP(M90,Faktoren!$B$16:$D$55,2)/1000)</f>
        <v>0</v>
      </c>
    </row>
    <row r="91" spans="2:16">
      <c r="B91" s="489"/>
      <c r="C91" s="569">
        <f t="shared" si="8"/>
        <v>1900</v>
      </c>
      <c r="D91" s="492"/>
      <c r="E91" s="437" t="str">
        <f>Textes!A286</f>
        <v>2. Schlachtung</v>
      </c>
      <c r="F91" s="492"/>
      <c r="G91" s="437">
        <f>IF(D89-D90-D91&gt;0,D89-D90-D91,0)</f>
        <v>0</v>
      </c>
      <c r="H91" s="437">
        <f>IF(AND(D91&gt;0,B91&gt;0),B91-B89+1,0)</f>
        <v>0</v>
      </c>
      <c r="I91" s="441">
        <f>IF(H91&gt;0,IF(H91&gt;Faktoren!$D$5,Faktoren!$E$4,Faktoren!$E$5),0)</f>
        <v>0</v>
      </c>
      <c r="J91" s="439">
        <f>IF(H91&gt;0,D91*I91,0)</f>
        <v>0</v>
      </c>
      <c r="K91" s="437"/>
      <c r="L91" s="440"/>
      <c r="M91" s="560">
        <f>IF(OR(B91="",D91=""),0,H91+(I$6-B91))</f>
        <v>0</v>
      </c>
      <c r="N91" s="561">
        <f>IF(D91="",0,VLOOKUP(M91,Faktoren!$B$16:$D$55,2)/1000)</f>
        <v>0</v>
      </c>
    </row>
    <row r="92" spans="2:16">
      <c r="B92" s="489"/>
      <c r="C92" s="569">
        <f t="shared" si="8"/>
        <v>1900</v>
      </c>
      <c r="D92" s="492"/>
      <c r="E92" s="437" t="str">
        <f>Textes!A287</f>
        <v>3. Schlachtung</v>
      </c>
      <c r="F92" s="492"/>
      <c r="G92" s="437">
        <f>IF(D89-D90-D91-D92&gt;0,D89-D90-D91-D92,0)</f>
        <v>0</v>
      </c>
      <c r="H92" s="437">
        <f>IF(AND(D92&gt;0,B92&gt;0),B92-B89+1,0)</f>
        <v>0</v>
      </c>
      <c r="I92" s="441">
        <f>IF(H92&gt;0,IF(H92&gt;Faktoren!$D$5,Faktoren!$E$4,Faktoren!$E$5),0)</f>
        <v>0</v>
      </c>
      <c r="J92" s="439">
        <f>IF(H92&gt;0,D92*I92,0)</f>
        <v>0</v>
      </c>
      <c r="K92" s="437"/>
      <c r="L92" s="440"/>
      <c r="M92" s="560">
        <f>IF(OR(B92="",D92=""),0,H92+(I$6-B92))</f>
        <v>0</v>
      </c>
      <c r="N92" s="561">
        <f>IF(D92="",0,VLOOKUP(M92,Faktoren!$B$16:$D$55,2)/1000)</f>
        <v>0</v>
      </c>
    </row>
    <row r="93" spans="2:16">
      <c r="B93" s="489"/>
      <c r="C93" s="569">
        <f t="shared" si="8"/>
        <v>1900</v>
      </c>
      <c r="D93" s="492"/>
      <c r="E93" s="437" t="str">
        <f>Textes!A288</f>
        <v>4. Schlachtung</v>
      </c>
      <c r="F93" s="492"/>
      <c r="G93" s="437">
        <f>IF(D89-D90-D91-D92-D93&gt;0,D89-D90-D91-D92-D93,0)</f>
        <v>0</v>
      </c>
      <c r="H93" s="437">
        <f>IF(AND(D93&gt;0,B93&gt;0),B93-B89+1,0)</f>
        <v>0</v>
      </c>
      <c r="I93" s="441">
        <f>IF(H93&gt;0,IF(H93&gt;Faktoren!$D$5,Faktoren!$E$4,Faktoren!$E$5),0)</f>
        <v>0</v>
      </c>
      <c r="J93" s="439">
        <f>IF(H93&gt;0,D93*I93,0)</f>
        <v>0</v>
      </c>
      <c r="K93" s="437"/>
      <c r="L93" s="440"/>
      <c r="M93" s="560">
        <f>IF(OR(B93="",D93=""),0,H93+(I$6-B93))</f>
        <v>0</v>
      </c>
      <c r="N93" s="561">
        <f>IF(D93="",0,VLOOKUP(M93,Faktoren!$B$16:$D$55,2)/1000)</f>
        <v>0</v>
      </c>
    </row>
    <row r="94" spans="2:16" ht="13.5" thickBot="1">
      <c r="B94" s="489"/>
      <c r="C94" s="569">
        <f t="shared" si="8"/>
        <v>1900</v>
      </c>
      <c r="D94" s="492"/>
      <c r="E94" s="437" t="str">
        <f>Textes!A289</f>
        <v>5. Schlachtung</v>
      </c>
      <c r="F94" s="492"/>
      <c r="G94" s="437">
        <f>IF(D89-D90-D91-D92-D93-D94&gt;0,D89-D90-D91-D92-D93-D94,0)</f>
        <v>0</v>
      </c>
      <c r="H94" s="437">
        <f>IF(AND(D94&gt;0,B94&gt;0),B94-B89+1,0)</f>
        <v>0</v>
      </c>
      <c r="I94" s="441">
        <f>IF(H94&gt;0,IF(H94&gt;Faktoren!$D$5,Faktoren!$E$4,Faktoren!$E$5),0)</f>
        <v>0</v>
      </c>
      <c r="J94" s="439">
        <f>IF(H94&gt;0,D94*I94,0)</f>
        <v>0</v>
      </c>
      <c r="K94" s="437"/>
      <c r="L94" s="440"/>
      <c r="M94" s="560">
        <f>IF(OR(B94="",D94=""),0,H94+(I$6-B94))</f>
        <v>0</v>
      </c>
      <c r="N94" s="561">
        <f>IF(D94="",0,VLOOKUP(M94,Faktoren!$B$16:$D$55,2)/1000)</f>
        <v>0</v>
      </c>
    </row>
    <row r="95" spans="2:16" ht="13.5" thickBot="1">
      <c r="B95" s="482" t="str">
        <f>E95</f>
        <v>Abgänge</v>
      </c>
      <c r="C95" s="442"/>
      <c r="D95" s="437">
        <f>+D89-SUM(D90:D94)</f>
        <v>0</v>
      </c>
      <c r="E95" s="437" t="str">
        <f>Textes!A290</f>
        <v>Abgänge</v>
      </c>
      <c r="F95" s="492">
        <f>D95*0.6</f>
        <v>0</v>
      </c>
      <c r="G95" s="437"/>
      <c r="H95" s="437"/>
      <c r="I95" s="438">
        <f>IF(D95&gt;0,Faktoren!$E$7,0)</f>
        <v>0</v>
      </c>
      <c r="J95" s="439">
        <f>IF(D95&gt;0,D95*I95,0)</f>
        <v>0</v>
      </c>
      <c r="K95" s="443">
        <f>SUM(J90:J95)</f>
        <v>0</v>
      </c>
      <c r="L95" s="440"/>
      <c r="M95" s="560">
        <f>IF(MAX(B89:B94)&lt;$I$6,0,VLOOKUP($I$6,B89:G94,6))</f>
        <v>0</v>
      </c>
      <c r="N95" s="454"/>
      <c r="O95" s="557">
        <f>MAX(B89:B94)</f>
        <v>0</v>
      </c>
      <c r="P95" s="553">
        <f>IF(OR($F$6="",I$6="",O95&lt;F$6),99,IF(AND(O95&gt;F$6,O95&lt;I$6),0,1))</f>
        <v>99</v>
      </c>
    </row>
    <row r="96" spans="2:16">
      <c r="B96" s="444"/>
      <c r="C96" s="439"/>
      <c r="D96" s="439">
        <f>IF(D89&gt;0,ROUND(+D95/D89*100,1),0)</f>
        <v>0</v>
      </c>
      <c r="E96" s="437" t="str">
        <f>Textes!A291</f>
        <v>Abgänge in %</v>
      </c>
      <c r="F96" s="437"/>
      <c r="G96" s="445" t="s">
        <v>830</v>
      </c>
      <c r="H96" s="437">
        <f>MAX(H89:H94)</f>
        <v>0</v>
      </c>
      <c r="I96" s="438" t="str">
        <f>Textes!A293</f>
        <v>Tage Stall belegt</v>
      </c>
      <c r="J96" s="439"/>
      <c r="K96" s="437"/>
      <c r="L96" s="440"/>
      <c r="M96" s="437"/>
      <c r="N96" s="553">
        <f>IF(P95=1,$I$6-B89+1,H96)</f>
        <v>0</v>
      </c>
    </row>
    <row r="97" spans="2:16">
      <c r="B97" s="451"/>
      <c r="C97" s="452"/>
      <c r="D97" s="558">
        <f>IF(P95=99,0,IF(P95=0,H96/MAX(H90:H94),IF(P95=1,(H96-(O95-$I$6))/H96,0)))</f>
        <v>0</v>
      </c>
      <c r="E97" s="448" t="str">
        <f>Textes!A292</f>
        <v>Umtriebe</v>
      </c>
      <c r="F97" s="448"/>
      <c r="G97" s="447"/>
      <c r="H97" s="448">
        <f>IF(B99&lt;&gt;0,(B99-O95),0)</f>
        <v>0</v>
      </c>
      <c r="I97" s="438" t="str">
        <f>Textes!A294</f>
        <v>Tage Stall leer</v>
      </c>
      <c r="J97" s="447"/>
      <c r="K97" s="448"/>
      <c r="L97" s="450"/>
      <c r="M97" s="437"/>
      <c r="N97" s="439"/>
    </row>
    <row r="98" spans="2:16" ht="13.5" thickBot="1">
      <c r="B98" s="431" t="str">
        <f>Textes!A280</f>
        <v>Umtrieb 9</v>
      </c>
      <c r="C98" s="432"/>
      <c r="D98" s="433"/>
      <c r="E98" s="433"/>
      <c r="F98" s="433"/>
      <c r="G98" s="433"/>
      <c r="H98" s="433"/>
      <c r="I98" s="434"/>
      <c r="J98" s="435"/>
      <c r="K98" s="433"/>
      <c r="L98" s="436"/>
      <c r="M98" s="437"/>
      <c r="N98" s="439"/>
    </row>
    <row r="99" spans="2:16" ht="13.5" thickBot="1">
      <c r="B99" s="489"/>
      <c r="C99" s="569">
        <f t="shared" ref="C99:C104" si="9">YEAR(B99)</f>
        <v>1900</v>
      </c>
      <c r="D99" s="490"/>
      <c r="E99" s="437" t="str">
        <f>Textes!A284</f>
        <v>Einstallung</v>
      </c>
      <c r="F99" s="551">
        <f>D99*0.04</f>
        <v>0</v>
      </c>
      <c r="G99" s="437">
        <f>IF(D99&gt;0,D99,0)</f>
        <v>0</v>
      </c>
      <c r="H99" s="437"/>
      <c r="I99" s="438"/>
      <c r="J99" s="439"/>
      <c r="K99" s="437"/>
      <c r="L99" s="440"/>
      <c r="M99" s="560">
        <f>IF(OR(B99="",D99=""),0,IF((I$6-B99)=0,1,H99+(I$6-B99)))</f>
        <v>0</v>
      </c>
      <c r="N99" s="561">
        <f>IF(D99="",0,VLOOKUP(M99,Faktoren!$B$16:$D$55,2)/1000)</f>
        <v>0</v>
      </c>
    </row>
    <row r="100" spans="2:16">
      <c r="B100" s="489"/>
      <c r="C100" s="569">
        <f t="shared" si="9"/>
        <v>1900</v>
      </c>
      <c r="D100" s="491"/>
      <c r="E100" s="437" t="str">
        <f>Textes!A285</f>
        <v>1. Schlachtung</v>
      </c>
      <c r="F100" s="491"/>
      <c r="G100" s="437">
        <f>IF(D99-D100&gt;0,D99-D100,0)</f>
        <v>0</v>
      </c>
      <c r="H100" s="437">
        <f>IF(AND(D100&gt;0,B100&gt;0),B100-B99+1,0)</f>
        <v>0</v>
      </c>
      <c r="I100" s="441">
        <f>IF(H100&gt;0,IF(H100&gt;Faktoren!$D$5,Faktoren!$E$4,Faktoren!$E$5),0)</f>
        <v>0</v>
      </c>
      <c r="J100" s="439">
        <f>IF(H100&gt;0,D100*I100,0)</f>
        <v>0</v>
      </c>
      <c r="K100" s="437"/>
      <c r="L100" s="440"/>
      <c r="M100" s="560">
        <f>IF(OR(B100="",D100=""),0,H100+(I$6-B100))</f>
        <v>0</v>
      </c>
      <c r="N100" s="561">
        <f>IF(D100="",0,VLOOKUP(M100,Faktoren!$B$16:$D$55,2)/1000)</f>
        <v>0</v>
      </c>
    </row>
    <row r="101" spans="2:16">
      <c r="B101" s="489"/>
      <c r="C101" s="569">
        <f t="shared" si="9"/>
        <v>1900</v>
      </c>
      <c r="D101" s="492"/>
      <c r="E101" s="437" t="str">
        <f>Textes!A286</f>
        <v>2. Schlachtung</v>
      </c>
      <c r="F101" s="492"/>
      <c r="G101" s="437">
        <f>IF(D99-D100-D101&gt;0,D99-D100-D101,0)</f>
        <v>0</v>
      </c>
      <c r="H101" s="437">
        <f>IF(AND(D101&gt;0,B101&gt;0),B101-B99+1,0)</f>
        <v>0</v>
      </c>
      <c r="I101" s="441">
        <f>IF(H101&gt;0,IF(H101&gt;Faktoren!$D$5,Faktoren!$E$4,Faktoren!$E$5),0)</f>
        <v>0</v>
      </c>
      <c r="J101" s="439">
        <f>IF(H101&gt;0,D101*I101,0)</f>
        <v>0</v>
      </c>
      <c r="K101" s="437"/>
      <c r="L101" s="440"/>
      <c r="M101" s="560">
        <f>IF(OR(B101="",D101=""),0,H101+(I$6-B101))</f>
        <v>0</v>
      </c>
      <c r="N101" s="561">
        <f>IF(D101="",0,VLOOKUP(M101,Faktoren!$B$16:$D$55,2)/1000)</f>
        <v>0</v>
      </c>
    </row>
    <row r="102" spans="2:16">
      <c r="B102" s="489"/>
      <c r="C102" s="569">
        <f t="shared" si="9"/>
        <v>1900</v>
      </c>
      <c r="D102" s="492"/>
      <c r="E102" s="437" t="str">
        <f>Textes!A287</f>
        <v>3. Schlachtung</v>
      </c>
      <c r="F102" s="492"/>
      <c r="G102" s="437">
        <f>IF(D99-D100-D101-D102&gt;0,D99-D100-D101-D102,0)</f>
        <v>0</v>
      </c>
      <c r="H102" s="437">
        <f>IF(AND(D102&gt;0,B102&gt;0),B102-B99+1,0)</f>
        <v>0</v>
      </c>
      <c r="I102" s="441">
        <f>IF(H102&gt;0,IF(H102&gt;Faktoren!$D$5,Faktoren!$E$4,Faktoren!$E$5),0)</f>
        <v>0</v>
      </c>
      <c r="J102" s="439">
        <f>IF(H102&gt;0,D102*I102,0)</f>
        <v>0</v>
      </c>
      <c r="K102" s="437"/>
      <c r="L102" s="440"/>
      <c r="M102" s="560">
        <f>IF(OR(B102="",D102=""),0,H102+(I$6-B102))</f>
        <v>0</v>
      </c>
      <c r="N102" s="561">
        <f>IF(D102="",0,VLOOKUP(M102,Faktoren!$B$16:$D$55,2)/1000)</f>
        <v>0</v>
      </c>
    </row>
    <row r="103" spans="2:16">
      <c r="B103" s="489"/>
      <c r="C103" s="569">
        <f t="shared" si="9"/>
        <v>1900</v>
      </c>
      <c r="D103" s="492"/>
      <c r="E103" s="437" t="str">
        <f>Textes!A288</f>
        <v>4. Schlachtung</v>
      </c>
      <c r="F103" s="492"/>
      <c r="G103" s="437">
        <f>IF(D99-D100-D101-D102-D103&gt;0,D99-D100-D101-D102-D103,0)</f>
        <v>0</v>
      </c>
      <c r="H103" s="437">
        <f>IF(AND(D103&gt;0,B103&gt;0),B103-B99+1,0)</f>
        <v>0</v>
      </c>
      <c r="I103" s="441">
        <f>IF(H103&gt;0,IF(H103&gt;Faktoren!$D$5,Faktoren!$E$4,Faktoren!$E$5),0)</f>
        <v>0</v>
      </c>
      <c r="J103" s="439">
        <f>IF(H103&gt;0,D103*I103,0)</f>
        <v>0</v>
      </c>
      <c r="K103" s="437"/>
      <c r="L103" s="440"/>
      <c r="M103" s="560">
        <f>IF(OR(B103="",D103=""),0,H103+(I$6-B103))</f>
        <v>0</v>
      </c>
      <c r="N103" s="561">
        <f>IF(D103="",0,VLOOKUP(M103,Faktoren!$B$16:$D$55,2)/1000)</f>
        <v>0</v>
      </c>
    </row>
    <row r="104" spans="2:16" ht="13.5" thickBot="1">
      <c r="B104" s="489"/>
      <c r="C104" s="569">
        <f t="shared" si="9"/>
        <v>1900</v>
      </c>
      <c r="D104" s="492"/>
      <c r="E104" s="437" t="str">
        <f>Textes!A289</f>
        <v>5. Schlachtung</v>
      </c>
      <c r="F104" s="492"/>
      <c r="G104" s="437">
        <f>IF(D99-D100-D101-D102-D103-D104&gt;0,D99-D100-D101-D102-D103-D104,0)</f>
        <v>0</v>
      </c>
      <c r="H104" s="437">
        <f>IF(AND(D104&gt;0,B104&gt;0),B104-B99+1,0)</f>
        <v>0</v>
      </c>
      <c r="I104" s="441">
        <f>IF(H104&gt;0,IF(H104&gt;Faktoren!$D$5,Faktoren!$E$4,Faktoren!$E$5),0)</f>
        <v>0</v>
      </c>
      <c r="J104" s="439">
        <f>IF(H104&gt;0,D104*I104,0)</f>
        <v>0</v>
      </c>
      <c r="K104" s="437"/>
      <c r="L104" s="440"/>
      <c r="M104" s="560">
        <f>IF(OR(B104="",D104=""),0,H104+(I$6-B104))</f>
        <v>0</v>
      </c>
      <c r="N104" s="561">
        <f>IF(D104="",0,VLOOKUP(M104,Faktoren!$B$16:$D$55,2)/1000)</f>
        <v>0</v>
      </c>
    </row>
    <row r="105" spans="2:16" ht="13.5" thickBot="1">
      <c r="B105" s="482" t="str">
        <f>E105</f>
        <v>Abgänge</v>
      </c>
      <c r="C105" s="442"/>
      <c r="D105" s="437">
        <f>+D99-SUM(D100:D104)</f>
        <v>0</v>
      </c>
      <c r="E105" s="437" t="str">
        <f>Textes!A290</f>
        <v>Abgänge</v>
      </c>
      <c r="F105" s="492">
        <f>D105*0.6</f>
        <v>0</v>
      </c>
      <c r="G105" s="437"/>
      <c r="H105" s="437"/>
      <c r="I105" s="438">
        <f>IF(D105&gt;0,Faktoren!$E$7,0)</f>
        <v>0</v>
      </c>
      <c r="J105" s="439">
        <f>IF(D105&gt;0,D105*I105,0)</f>
        <v>0</v>
      </c>
      <c r="K105" s="443">
        <f>SUM(J100:J105)</f>
        <v>0</v>
      </c>
      <c r="L105" s="440"/>
      <c r="M105" s="560">
        <f>IF(MAX(B99:B104)&lt;$I$6,0,VLOOKUP($I$6,B99:G104,6))</f>
        <v>0</v>
      </c>
      <c r="N105" s="454"/>
      <c r="O105" s="557">
        <f>MAX(B99:B104)</f>
        <v>0</v>
      </c>
      <c r="P105" s="553">
        <f>IF(OR($F$6="",I$6="",O105&lt;F$6),99,IF(AND(O105&gt;F$6,O105&lt;I$6),0,1))</f>
        <v>99</v>
      </c>
    </row>
    <row r="106" spans="2:16">
      <c r="B106" s="444"/>
      <c r="C106" s="439"/>
      <c r="D106" s="439">
        <f>IF(D99&gt;0,ROUND(+D105/D99*100,1),0)</f>
        <v>0</v>
      </c>
      <c r="E106" s="437" t="str">
        <f>Textes!A291</f>
        <v>Abgänge in %</v>
      </c>
      <c r="F106" s="437"/>
      <c r="G106" s="445" t="s">
        <v>830</v>
      </c>
      <c r="H106" s="437">
        <f>MAX(H99:H104)</f>
        <v>0</v>
      </c>
      <c r="I106" s="438" t="str">
        <f>Textes!A293</f>
        <v>Tage Stall belegt</v>
      </c>
      <c r="J106" s="439"/>
      <c r="K106" s="437"/>
      <c r="L106" s="440"/>
      <c r="M106" s="437"/>
      <c r="N106" s="553">
        <f>IF(P105=1,$I$6-B99+1,H106)</f>
        <v>0</v>
      </c>
    </row>
    <row r="107" spans="2:16">
      <c r="B107" s="451"/>
      <c r="C107" s="452"/>
      <c r="D107" s="558">
        <f>IF(P105=99,0,IF(P105=0,H106/MAX(H100:H104),IF(P105=1,(H106-(O105-$I$6))/H106,0)))</f>
        <v>0</v>
      </c>
      <c r="E107" s="448" t="str">
        <f>Textes!A292</f>
        <v>Umtriebe</v>
      </c>
      <c r="F107" s="448"/>
      <c r="G107" s="447"/>
      <c r="H107" s="448">
        <f>IF(B109&lt;&gt;0,(B109-O105),0)</f>
        <v>0</v>
      </c>
      <c r="I107" s="438" t="str">
        <f>Textes!A294</f>
        <v>Tage Stall leer</v>
      </c>
      <c r="J107" s="447"/>
      <c r="K107" s="448"/>
      <c r="L107" s="450"/>
      <c r="M107" s="437"/>
      <c r="N107" s="439"/>
    </row>
    <row r="108" spans="2:16" ht="13.5" thickBot="1">
      <c r="B108" s="431" t="str">
        <f>Textes!A281</f>
        <v>Umtrieb 10</v>
      </c>
      <c r="C108" s="432"/>
      <c r="D108" s="433"/>
      <c r="E108" s="433"/>
      <c r="F108" s="433"/>
      <c r="G108" s="433"/>
      <c r="H108" s="433"/>
      <c r="I108" s="434"/>
      <c r="J108" s="435"/>
      <c r="K108" s="433"/>
      <c r="L108" s="436"/>
      <c r="M108" s="437"/>
      <c r="N108" s="439"/>
    </row>
    <row r="109" spans="2:16" ht="13.5" thickBot="1">
      <c r="B109" s="489"/>
      <c r="C109" s="569">
        <f t="shared" ref="C109:C114" si="10">YEAR(B109)</f>
        <v>1900</v>
      </c>
      <c r="D109" s="490"/>
      <c r="E109" s="437" t="str">
        <f>Textes!A284</f>
        <v>Einstallung</v>
      </c>
      <c r="F109" s="551">
        <f>D109*0.04</f>
        <v>0</v>
      </c>
      <c r="G109" s="437">
        <f>IF(D109&gt;0,D109,0)</f>
        <v>0</v>
      </c>
      <c r="H109" s="437"/>
      <c r="I109" s="438"/>
      <c r="J109" s="439"/>
      <c r="K109" s="437"/>
      <c r="L109" s="440"/>
      <c r="M109" s="560">
        <f>IF(OR(B109="",D109=""),0,IF((I$6-B109)=0,1,H109+(I$6-B109)))</f>
        <v>0</v>
      </c>
      <c r="N109" s="561">
        <f>IF(D109="",0,VLOOKUP(M109,Faktoren!$B$16:$D$55,2)/1000)</f>
        <v>0</v>
      </c>
    </row>
    <row r="110" spans="2:16">
      <c r="B110" s="489"/>
      <c r="C110" s="569">
        <f t="shared" si="10"/>
        <v>1900</v>
      </c>
      <c r="D110" s="491"/>
      <c r="E110" s="437" t="str">
        <f>Textes!A285</f>
        <v>1. Schlachtung</v>
      </c>
      <c r="F110" s="491"/>
      <c r="G110" s="437">
        <f>IF(D109-D110&gt;0,D109-D110,0)</f>
        <v>0</v>
      </c>
      <c r="H110" s="437">
        <f>IF(AND(D110&gt;0,B110&gt;0),B110-B109+1,0)</f>
        <v>0</v>
      </c>
      <c r="I110" s="441">
        <f>IF(H110&gt;0,IF(H110&gt;Faktoren!$D$5,Faktoren!$E$4,Faktoren!$E$5),0)</f>
        <v>0</v>
      </c>
      <c r="J110" s="439">
        <f>IF(H110&gt;0,D110*I110,0)</f>
        <v>0</v>
      </c>
      <c r="K110" s="437"/>
      <c r="L110" s="440"/>
      <c r="M110" s="560">
        <f>IF(OR(B110="",D110=""),0,H110+(I$6-B110))</f>
        <v>0</v>
      </c>
      <c r="N110" s="561">
        <f>IF(D110="",0,VLOOKUP(M110,Faktoren!$B$16:$D$55,2)/1000)</f>
        <v>0</v>
      </c>
    </row>
    <row r="111" spans="2:16">
      <c r="B111" s="489"/>
      <c r="C111" s="569">
        <f t="shared" si="10"/>
        <v>1900</v>
      </c>
      <c r="D111" s="492"/>
      <c r="E111" s="437" t="str">
        <f>Textes!A286</f>
        <v>2. Schlachtung</v>
      </c>
      <c r="F111" s="492"/>
      <c r="G111" s="437">
        <f>IF(D109-D110-D111&gt;0,D109-D110-D111,0)</f>
        <v>0</v>
      </c>
      <c r="H111" s="437">
        <f>IF(AND(D111&gt;0,B111&gt;0),B111-B109+1,0)</f>
        <v>0</v>
      </c>
      <c r="I111" s="441">
        <f>IF(H111&gt;0,IF(H111&gt;Faktoren!$D$5,Faktoren!$E$4,Faktoren!$E$5),0)</f>
        <v>0</v>
      </c>
      <c r="J111" s="439">
        <f>IF(H111&gt;0,D111*I111,0)</f>
        <v>0</v>
      </c>
      <c r="K111" s="437"/>
      <c r="L111" s="440"/>
      <c r="M111" s="560">
        <f>IF(OR(B111="",D111=""),0,H111+(I$6-B111))</f>
        <v>0</v>
      </c>
      <c r="N111" s="561">
        <f>IF(D111="",0,VLOOKUP(M111,Faktoren!$B$16:$D$55,2)/1000)</f>
        <v>0</v>
      </c>
    </row>
    <row r="112" spans="2:16">
      <c r="B112" s="489"/>
      <c r="C112" s="569">
        <f t="shared" si="10"/>
        <v>1900</v>
      </c>
      <c r="D112" s="492"/>
      <c r="E112" s="437" t="str">
        <f>Textes!A287</f>
        <v>3. Schlachtung</v>
      </c>
      <c r="F112" s="492"/>
      <c r="G112" s="437">
        <f>IF(D109-D110-D111-D112&gt;0,D109-D110-D111-D112,0)</f>
        <v>0</v>
      </c>
      <c r="H112" s="437">
        <f>IF(AND(D112&gt;0,B112&gt;0),B112-B109+1,0)</f>
        <v>0</v>
      </c>
      <c r="I112" s="441">
        <f>IF(H112&gt;0,IF(H112&gt;Faktoren!$D$5,Faktoren!$E$4,Faktoren!$E$5),0)</f>
        <v>0</v>
      </c>
      <c r="J112" s="439">
        <f>IF(H112&gt;0,D112*I112,0)</f>
        <v>0</v>
      </c>
      <c r="K112" s="437"/>
      <c r="L112" s="440"/>
      <c r="M112" s="560">
        <f>IF(OR(B112="",D112=""),0,H112+(I$6-B112))</f>
        <v>0</v>
      </c>
      <c r="N112" s="561">
        <f>IF(D112="",0,VLOOKUP(M112,Faktoren!$B$16:$D$55,2)/1000)</f>
        <v>0</v>
      </c>
    </row>
    <row r="113" spans="2:16">
      <c r="B113" s="489"/>
      <c r="C113" s="569">
        <f t="shared" si="10"/>
        <v>1900</v>
      </c>
      <c r="D113" s="492"/>
      <c r="E113" s="437" t="str">
        <f>Textes!A288</f>
        <v>4. Schlachtung</v>
      </c>
      <c r="F113" s="492"/>
      <c r="G113" s="437">
        <f>IF(D109-D110-D111-D112-D113&gt;0,D109-D110-D111-D112-D113,0)</f>
        <v>0</v>
      </c>
      <c r="H113" s="437">
        <f>IF(AND(D113&gt;0,B113&gt;0),B113-B109+1,0)</f>
        <v>0</v>
      </c>
      <c r="I113" s="441">
        <f>IF(H113&gt;0,IF(H113&gt;Faktoren!$D$5,Faktoren!$E$4,Faktoren!$E$5),0)</f>
        <v>0</v>
      </c>
      <c r="J113" s="439">
        <f>IF(H113&gt;0,D113*I113,0)</f>
        <v>0</v>
      </c>
      <c r="K113" s="437"/>
      <c r="L113" s="440"/>
      <c r="M113" s="560">
        <f>IF(OR(B113="",D113=""),0,H113+(I$6-B113))</f>
        <v>0</v>
      </c>
      <c r="N113" s="561">
        <f>IF(D113="",0,VLOOKUP(M113,Faktoren!$B$16:$D$55,2)/1000)</f>
        <v>0</v>
      </c>
    </row>
    <row r="114" spans="2:16" ht="13.5" thickBot="1">
      <c r="B114" s="489"/>
      <c r="C114" s="569">
        <f t="shared" si="10"/>
        <v>1900</v>
      </c>
      <c r="D114" s="492"/>
      <c r="E114" s="437" t="str">
        <f>Textes!A289</f>
        <v>5. Schlachtung</v>
      </c>
      <c r="F114" s="492"/>
      <c r="G114" s="437">
        <f>IF(D109-D110-D111-D112-D113-D114&gt;0,D109-D110-D111-D112-D113-D114,0)</f>
        <v>0</v>
      </c>
      <c r="H114" s="437">
        <f>IF(AND(D114&gt;0,B114&gt;0),B114-B109+1,0)</f>
        <v>0</v>
      </c>
      <c r="I114" s="441">
        <f>IF(H114&gt;0,IF(H114&gt;Faktoren!$D$5,Faktoren!$E$4,Faktoren!$E$5),0)</f>
        <v>0</v>
      </c>
      <c r="J114" s="439">
        <f>IF(H114&gt;0,D114*I114,0)</f>
        <v>0</v>
      </c>
      <c r="K114" s="437"/>
      <c r="L114" s="440"/>
      <c r="M114" s="560">
        <f>IF(OR(B114="",D114=""),0,H114+(I$6-B114))</f>
        <v>0</v>
      </c>
      <c r="N114" s="561">
        <f>IF(D114="",0,VLOOKUP(M114,Faktoren!$B$16:$D$55,2)/1000)</f>
        <v>0</v>
      </c>
    </row>
    <row r="115" spans="2:16" ht="13.5" thickBot="1">
      <c r="B115" s="482" t="str">
        <f>E115</f>
        <v>Abgänge</v>
      </c>
      <c r="C115" s="442"/>
      <c r="D115" s="437">
        <f>+D109-SUM(D110:D114)</f>
        <v>0</v>
      </c>
      <c r="E115" s="437" t="str">
        <f>Textes!A290</f>
        <v>Abgänge</v>
      </c>
      <c r="F115" s="492">
        <f>D115*0.6</f>
        <v>0</v>
      </c>
      <c r="G115" s="437"/>
      <c r="H115" s="437"/>
      <c r="I115" s="438">
        <f>IF(D115&gt;0,Faktoren!$E$7,0)</f>
        <v>0</v>
      </c>
      <c r="J115" s="439">
        <f>IF(D115&gt;0,D115*I115,0)</f>
        <v>0</v>
      </c>
      <c r="K115" s="443">
        <f>SUM(J110:J115)</f>
        <v>0</v>
      </c>
      <c r="L115" s="440"/>
      <c r="M115" s="560">
        <f>IF(MAX(B109:B114)&lt;$I$6,0,VLOOKUP($I$6,B109:G114,6))</f>
        <v>0</v>
      </c>
      <c r="N115" s="454"/>
      <c r="O115" s="557">
        <f>MAX(B109:B114)</f>
        <v>0</v>
      </c>
      <c r="P115" s="553">
        <f>IF(OR($F$6="",I$6="",O115&lt;F$6),99,IF(AND(O115&gt;F$6,O115&lt;I$6),0,1))</f>
        <v>99</v>
      </c>
    </row>
    <row r="116" spans="2:16">
      <c r="B116" s="444"/>
      <c r="C116" s="439"/>
      <c r="D116" s="439">
        <f>IF(D109&gt;0,ROUND(+D115/D109*100,1),0)</f>
        <v>0</v>
      </c>
      <c r="E116" s="437" t="str">
        <f>Textes!A291</f>
        <v>Abgänge in %</v>
      </c>
      <c r="F116" s="437"/>
      <c r="G116" s="445" t="s">
        <v>830</v>
      </c>
      <c r="H116" s="437">
        <f>MAX(H109:H114)</f>
        <v>0</v>
      </c>
      <c r="I116" s="438" t="str">
        <f>Textes!A293</f>
        <v>Tage Stall belegt</v>
      </c>
      <c r="J116" s="439"/>
      <c r="K116" s="437"/>
      <c r="L116" s="440"/>
      <c r="M116" s="437"/>
      <c r="N116" s="553">
        <f>IF(P115=1,$I$6-B109+1,H116)</f>
        <v>0</v>
      </c>
    </row>
    <row r="117" spans="2:16">
      <c r="B117" s="451"/>
      <c r="C117" s="452"/>
      <c r="D117" s="558">
        <f>IF(P115=99,0,IF(P115=0,H116/MAX(H110:H114),IF(P115=1,(H116-(O115-$I$6))/H116,0)))</f>
        <v>0</v>
      </c>
      <c r="E117" s="448" t="str">
        <f>Textes!A292</f>
        <v>Umtriebe</v>
      </c>
      <c r="F117" s="448"/>
      <c r="G117" s="447"/>
      <c r="H117" s="448">
        <f>IF(B119&lt;&gt;0,(B119-O115),0)</f>
        <v>0</v>
      </c>
      <c r="I117" s="438" t="str">
        <f>Textes!A294</f>
        <v>Tage Stall leer</v>
      </c>
      <c r="J117" s="447"/>
      <c r="K117" s="448"/>
      <c r="L117" s="450"/>
      <c r="M117" s="437"/>
      <c r="N117" s="439"/>
    </row>
    <row r="118" spans="2:16" ht="13.5" thickBot="1">
      <c r="B118" s="431" t="str">
        <f>Textes!A282</f>
        <v>Umtrieb 11</v>
      </c>
      <c r="C118" s="432"/>
      <c r="D118" s="433"/>
      <c r="E118" s="433"/>
      <c r="F118" s="433"/>
      <c r="G118" s="433"/>
      <c r="H118" s="433"/>
      <c r="I118" s="434"/>
      <c r="J118" s="435"/>
      <c r="K118" s="433"/>
      <c r="L118" s="436"/>
      <c r="M118" s="437"/>
      <c r="N118" s="439"/>
    </row>
    <row r="119" spans="2:16" ht="13.5" thickBot="1">
      <c r="B119" s="489"/>
      <c r="C119" s="569">
        <f t="shared" ref="C119:C124" si="11">YEAR(B119)</f>
        <v>1900</v>
      </c>
      <c r="D119" s="490"/>
      <c r="E119" s="437" t="str">
        <f>Textes!A284</f>
        <v>Einstallung</v>
      </c>
      <c r="F119" s="551">
        <f>D119*0.04</f>
        <v>0</v>
      </c>
      <c r="G119" s="437">
        <f>IF(D119&gt;0,D119,0)</f>
        <v>0</v>
      </c>
      <c r="H119" s="437"/>
      <c r="I119" s="438"/>
      <c r="J119" s="439"/>
      <c r="K119" s="437"/>
      <c r="L119" s="440"/>
      <c r="M119" s="560">
        <f>IF(OR(B119="",D119=""),0,IF((I$6-B119)=0,1,H119+(I$6-B119)))</f>
        <v>0</v>
      </c>
      <c r="N119" s="561">
        <f>IF(D119="",0,VLOOKUP(M119,Faktoren!$B$16:$D$55,2)/1000)</f>
        <v>0</v>
      </c>
    </row>
    <row r="120" spans="2:16">
      <c r="B120" s="489"/>
      <c r="C120" s="569">
        <f t="shared" si="11"/>
        <v>1900</v>
      </c>
      <c r="D120" s="491"/>
      <c r="E120" s="437" t="str">
        <f>Textes!A285</f>
        <v>1. Schlachtung</v>
      </c>
      <c r="F120" s="491"/>
      <c r="G120" s="437">
        <f>IF(D119-D120&gt;0,D119-D120,0)</f>
        <v>0</v>
      </c>
      <c r="H120" s="437">
        <f>IF(AND(D120&gt;0,B120&gt;0),B120-B119+1,0)</f>
        <v>0</v>
      </c>
      <c r="I120" s="441">
        <f>IF(H120&gt;0,IF(H120&gt;Faktoren!$D$5,Faktoren!$E$4,Faktoren!$E$5),0)</f>
        <v>0</v>
      </c>
      <c r="J120" s="439">
        <f>IF(H120&gt;0,D120*I120,0)</f>
        <v>0</v>
      </c>
      <c r="K120" s="437"/>
      <c r="L120" s="440"/>
      <c r="M120" s="560">
        <f>IF(OR(B120="",D120=""),0,H120+(I$6-B120))</f>
        <v>0</v>
      </c>
      <c r="N120" s="561">
        <f>IF(D120="",0,VLOOKUP(M120,Faktoren!$B$16:$D$55,2)/1000)</f>
        <v>0</v>
      </c>
    </row>
    <row r="121" spans="2:16">
      <c r="B121" s="489"/>
      <c r="C121" s="569">
        <f t="shared" si="11"/>
        <v>1900</v>
      </c>
      <c r="D121" s="492"/>
      <c r="E121" s="437" t="str">
        <f>Textes!A286</f>
        <v>2. Schlachtung</v>
      </c>
      <c r="F121" s="492"/>
      <c r="G121" s="437">
        <f>IF(D119-D120-D121&gt;0,D119-D120-D121,0)</f>
        <v>0</v>
      </c>
      <c r="H121" s="437">
        <f>IF(AND(D121&gt;0,B121&gt;0),B121-B119+1,0)</f>
        <v>0</v>
      </c>
      <c r="I121" s="441">
        <f>IF(H121&gt;0,IF(H121&gt;Faktoren!$D$5,Faktoren!$E$4,Faktoren!$E$5),0)</f>
        <v>0</v>
      </c>
      <c r="J121" s="439">
        <f>IF(H121&gt;0,D121*I121,0)</f>
        <v>0</v>
      </c>
      <c r="K121" s="437"/>
      <c r="L121" s="440"/>
      <c r="M121" s="560">
        <f>IF(OR(B121="",D121=""),0,H121+(I$6-B121))</f>
        <v>0</v>
      </c>
      <c r="N121" s="561">
        <f>IF(D121="",0,VLOOKUP(M121,Faktoren!$B$16:$D$55,2)/1000)</f>
        <v>0</v>
      </c>
    </row>
    <row r="122" spans="2:16">
      <c r="B122" s="489"/>
      <c r="C122" s="569">
        <f t="shared" si="11"/>
        <v>1900</v>
      </c>
      <c r="D122" s="492"/>
      <c r="E122" s="437" t="str">
        <f>Textes!A287</f>
        <v>3. Schlachtung</v>
      </c>
      <c r="F122" s="492"/>
      <c r="G122" s="437">
        <f>IF(D119-D120-D121-D122&gt;0,D119-D120-D121-D122,0)</f>
        <v>0</v>
      </c>
      <c r="H122" s="437">
        <f>IF(AND(D122&gt;0,B122&gt;0),B122-B119+1,0)</f>
        <v>0</v>
      </c>
      <c r="I122" s="441">
        <f>IF(H122&gt;0,IF(H122&gt;Faktoren!$D$5,Faktoren!$E$4,Faktoren!$E$5),0)</f>
        <v>0</v>
      </c>
      <c r="J122" s="439">
        <f>IF(H122&gt;0,D122*I122,0)</f>
        <v>0</v>
      </c>
      <c r="K122" s="437"/>
      <c r="L122" s="440"/>
      <c r="M122" s="560">
        <f>IF(OR(B122="",D122=""),0,H122+(I$6-B122))</f>
        <v>0</v>
      </c>
      <c r="N122" s="561">
        <f>IF(D122="",0,VLOOKUP(M122,Faktoren!$B$16:$D$55,2)/1000)</f>
        <v>0</v>
      </c>
    </row>
    <row r="123" spans="2:16">
      <c r="B123" s="489"/>
      <c r="C123" s="569">
        <f t="shared" si="11"/>
        <v>1900</v>
      </c>
      <c r="D123" s="492"/>
      <c r="E123" s="437" t="str">
        <f>Textes!A288</f>
        <v>4. Schlachtung</v>
      </c>
      <c r="F123" s="492"/>
      <c r="G123" s="437">
        <f>IF(D119-D120-D121-D122-D123&gt;0,D119-D120-D121-D122-D123,0)</f>
        <v>0</v>
      </c>
      <c r="H123" s="437">
        <f>IF(AND(D123&gt;0,B123&gt;0),B123-B119+1,0)</f>
        <v>0</v>
      </c>
      <c r="I123" s="441">
        <f>IF(H123&gt;0,IF(H123&gt;Faktoren!$D$5,Faktoren!$E$4,Faktoren!$E$5),0)</f>
        <v>0</v>
      </c>
      <c r="J123" s="439">
        <f>IF(H123&gt;0,D123*I123,0)</f>
        <v>0</v>
      </c>
      <c r="K123" s="437"/>
      <c r="L123" s="440"/>
      <c r="M123" s="560">
        <f>IF(OR(B123="",D123=""),0,H123+(I$6-B123))</f>
        <v>0</v>
      </c>
      <c r="N123" s="561">
        <f>IF(D123="",0,VLOOKUP(M123,Faktoren!$B$16:$D$55,2)/1000)</f>
        <v>0</v>
      </c>
    </row>
    <row r="124" spans="2:16" ht="13.5" thickBot="1">
      <c r="B124" s="489"/>
      <c r="C124" s="569">
        <f t="shared" si="11"/>
        <v>1900</v>
      </c>
      <c r="D124" s="492"/>
      <c r="E124" s="437" t="str">
        <f>Textes!A289</f>
        <v>5. Schlachtung</v>
      </c>
      <c r="F124" s="492"/>
      <c r="G124" s="437">
        <f>IF(D119-D120-D121-D122-D123-D124&gt;0,D119-D120-D121-D122-D123-D124,0)</f>
        <v>0</v>
      </c>
      <c r="H124" s="437">
        <f>IF(AND(D124&gt;0,B124&gt;0),B124-B119+1,0)</f>
        <v>0</v>
      </c>
      <c r="I124" s="441">
        <f>IF(H124&gt;0,IF(H124&gt;Faktoren!$D$5,Faktoren!$E$4,Faktoren!$E$5),0)</f>
        <v>0</v>
      </c>
      <c r="J124" s="439">
        <f>IF(H124&gt;0,D124*I124,0)</f>
        <v>0</v>
      </c>
      <c r="K124" s="437"/>
      <c r="L124" s="440"/>
      <c r="M124" s="560">
        <f>IF(OR(B124="",D124=""),0,H124+(I$6-B124))</f>
        <v>0</v>
      </c>
      <c r="N124" s="561">
        <f>IF(D124="",0,VLOOKUP(M124,Faktoren!$B$16:$D$55,2)/1000)</f>
        <v>0</v>
      </c>
    </row>
    <row r="125" spans="2:16" ht="13.5" thickBot="1">
      <c r="B125" s="482" t="str">
        <f>E125</f>
        <v>Abgänge</v>
      </c>
      <c r="C125" s="442"/>
      <c r="D125" s="437">
        <f>+D119-SUM(D120:D124)</f>
        <v>0</v>
      </c>
      <c r="E125" s="437" t="str">
        <f>Textes!A290</f>
        <v>Abgänge</v>
      </c>
      <c r="F125" s="492">
        <f>D125*0.6</f>
        <v>0</v>
      </c>
      <c r="G125" s="437"/>
      <c r="H125" s="437"/>
      <c r="I125" s="438">
        <f>IF(D125&gt;0,Faktoren!$E$7,0)</f>
        <v>0</v>
      </c>
      <c r="J125" s="439">
        <f>IF(D125&gt;0,D125*I125,0)</f>
        <v>0</v>
      </c>
      <c r="K125" s="443">
        <f>SUM(J120:J125)</f>
        <v>0</v>
      </c>
      <c r="L125" s="440"/>
      <c r="M125" s="560">
        <f>IF(MAX(B119:B124)&lt;$I$6,0,VLOOKUP($I$6,B119:G124,6))</f>
        <v>0</v>
      </c>
      <c r="N125" s="454"/>
      <c r="O125" s="557">
        <f>MAX(B119:B124)</f>
        <v>0</v>
      </c>
      <c r="P125" s="553">
        <f>IF(OR($F$6="",I$6="",O125&lt;F$6),99,IF(AND(O125&gt;F$6,O125&lt;I$6),0,1))</f>
        <v>99</v>
      </c>
    </row>
    <row r="126" spans="2:16">
      <c r="B126" s="444"/>
      <c r="C126" s="439"/>
      <c r="D126" s="439">
        <f>IF(D119&gt;0,ROUND(+D125/D119*100,1),0)</f>
        <v>0</v>
      </c>
      <c r="E126" s="437" t="str">
        <f>Textes!A291</f>
        <v>Abgänge in %</v>
      </c>
      <c r="F126" s="437"/>
      <c r="G126" s="445" t="s">
        <v>830</v>
      </c>
      <c r="H126" s="437">
        <f>MAX(H119:H124)</f>
        <v>0</v>
      </c>
      <c r="I126" s="438" t="str">
        <f>Textes!A293</f>
        <v>Tage Stall belegt</v>
      </c>
      <c r="J126" s="439"/>
      <c r="K126" s="437"/>
      <c r="L126" s="440"/>
      <c r="N126" s="553">
        <f>IF(P125=1,$I$6-B119+1,H126)</f>
        <v>0</v>
      </c>
    </row>
    <row r="127" spans="2:16">
      <c r="B127" s="451"/>
      <c r="C127" s="452"/>
      <c r="D127" s="558">
        <f>IF(P125=99,0,IF(P125=0,H126/MAX(H120:H124),IF(P125=1,(H126-(O125-$I$6))/H126,0)))</f>
        <v>0</v>
      </c>
      <c r="E127" s="448" t="str">
        <f>Textes!A292</f>
        <v>Umtriebe</v>
      </c>
      <c r="F127" s="448"/>
      <c r="G127" s="447"/>
      <c r="H127" s="448">
        <f>IF(B131&lt;&gt;0,(B131-O125),0)</f>
        <v>0</v>
      </c>
      <c r="I127" s="449" t="str">
        <f>Textes!A294</f>
        <v>Tage Stall leer</v>
      </c>
      <c r="J127" s="447"/>
      <c r="K127" s="448"/>
      <c r="L127" s="450"/>
    </row>
    <row r="128" spans="2:16">
      <c r="B128" s="442" t="str">
        <f>Textes!A252</f>
        <v>Stall 2</v>
      </c>
      <c r="C128" s="442"/>
      <c r="D128" s="437"/>
      <c r="E128" s="437"/>
      <c r="F128" s="437"/>
      <c r="G128" s="439"/>
      <c r="H128" s="437"/>
      <c r="I128" s="438"/>
      <c r="J128" s="439"/>
      <c r="K128" s="445" t="str">
        <f>Textes!A315</f>
        <v>Seite 3</v>
      </c>
      <c r="L128" s="437"/>
    </row>
    <row r="129" spans="2:16">
      <c r="B129" s="442"/>
      <c r="C129" s="442"/>
      <c r="D129" s="437"/>
      <c r="E129" s="437"/>
      <c r="F129" s="437"/>
      <c r="G129" s="439"/>
      <c r="H129" s="437"/>
      <c r="I129" s="438"/>
      <c r="J129" s="439"/>
      <c r="K129" s="437"/>
      <c r="L129" s="437"/>
    </row>
    <row r="130" spans="2:16" ht="13.5" thickBot="1">
      <c r="B130" s="431" t="str">
        <f>Textes!A283</f>
        <v>Umtrieb 12</v>
      </c>
      <c r="C130" s="432"/>
      <c r="D130" s="433"/>
      <c r="E130" s="433"/>
      <c r="F130" s="433"/>
      <c r="G130" s="433"/>
      <c r="H130" s="433"/>
      <c r="I130" s="434"/>
      <c r="J130" s="435"/>
      <c r="K130" s="433"/>
      <c r="L130" s="436"/>
    </row>
    <row r="131" spans="2:16" ht="13.5" thickBot="1">
      <c r="B131" s="489"/>
      <c r="C131" s="569">
        <f t="shared" ref="C131:C136" si="12">YEAR(B131)</f>
        <v>1900</v>
      </c>
      <c r="D131" s="490"/>
      <c r="E131" s="437" t="str">
        <f>Textes!A284</f>
        <v>Einstallung</v>
      </c>
      <c r="F131" s="551">
        <f>D131*0.04</f>
        <v>0</v>
      </c>
      <c r="G131" s="437">
        <f>IF(D131&gt;0,D131,0)</f>
        <v>0</v>
      </c>
      <c r="H131" s="437"/>
      <c r="I131" s="438"/>
      <c r="J131" s="439"/>
      <c r="K131" s="437"/>
      <c r="L131" s="440"/>
      <c r="M131" s="560">
        <f>IF(OR(B131="",D131=""),0,IF((I$6-B131)=0,1,H131+(I$6-B131)))</f>
        <v>0</v>
      </c>
      <c r="N131" s="561">
        <f>IF(D131="",0,VLOOKUP(M131,Faktoren!$B$16:$D$55,2)/1000)</f>
        <v>0</v>
      </c>
    </row>
    <row r="132" spans="2:16">
      <c r="B132" s="489"/>
      <c r="C132" s="569">
        <f t="shared" si="12"/>
        <v>1900</v>
      </c>
      <c r="D132" s="491"/>
      <c r="E132" s="437" t="str">
        <f>Textes!A285</f>
        <v>1. Schlachtung</v>
      </c>
      <c r="F132" s="491"/>
      <c r="G132" s="437">
        <f>IF(D131-D132&gt;0,D131-D132,0)</f>
        <v>0</v>
      </c>
      <c r="H132" s="437">
        <f>IF(AND(D132&gt;0,B132&gt;0),B132-B131+1,0)</f>
        <v>0</v>
      </c>
      <c r="I132" s="441">
        <f>IF(H132&gt;0,IF(H132&gt;Faktoren!$D$5,Faktoren!$E$4,Faktoren!$E$5),0)</f>
        <v>0</v>
      </c>
      <c r="J132" s="439">
        <f>IF(H132&gt;0,D132*I132,0)</f>
        <v>0</v>
      </c>
      <c r="K132" s="437"/>
      <c r="L132" s="440"/>
      <c r="M132" s="560">
        <f>IF(OR(B132="",D132=""),0,H132+(I$6-B132))</f>
        <v>0</v>
      </c>
      <c r="N132" s="561">
        <f>IF(D132="",0,VLOOKUP(M132,Faktoren!$B$16:$D$55,2)/1000)</f>
        <v>0</v>
      </c>
    </row>
    <row r="133" spans="2:16">
      <c r="B133" s="489"/>
      <c r="C133" s="569">
        <f t="shared" si="12"/>
        <v>1900</v>
      </c>
      <c r="D133" s="492"/>
      <c r="E133" s="437" t="str">
        <f>Textes!A286</f>
        <v>2. Schlachtung</v>
      </c>
      <c r="F133" s="492"/>
      <c r="G133" s="437">
        <f>IF(D131-D132-D133&gt;0,D131-D132-D133,0)</f>
        <v>0</v>
      </c>
      <c r="H133" s="437">
        <f>IF(AND(D133&gt;0,B133&gt;0),B133-B131+1,0)</f>
        <v>0</v>
      </c>
      <c r="I133" s="441">
        <f>IF(H133&gt;0,IF(H133&gt;Faktoren!$D$5,Faktoren!$E$4,Faktoren!$E$5),0)</f>
        <v>0</v>
      </c>
      <c r="J133" s="439">
        <f>IF(H133&gt;0,D133*I133,0)</f>
        <v>0</v>
      </c>
      <c r="K133" s="437"/>
      <c r="L133" s="440"/>
      <c r="M133" s="560">
        <f>IF(OR(B133="",D133=""),0,H133+(I$6-B133))</f>
        <v>0</v>
      </c>
      <c r="N133" s="561">
        <f>IF(D133="",0,VLOOKUP(M133,Faktoren!$B$16:$D$55,2)/1000)</f>
        <v>0</v>
      </c>
    </row>
    <row r="134" spans="2:16">
      <c r="B134" s="489"/>
      <c r="C134" s="569">
        <f t="shared" si="12"/>
        <v>1900</v>
      </c>
      <c r="D134" s="492"/>
      <c r="E134" s="437" t="str">
        <f>Textes!A287</f>
        <v>3. Schlachtung</v>
      </c>
      <c r="F134" s="492"/>
      <c r="G134" s="437">
        <f>IF(D131-D132-D133-D134&gt;0,D131-D132-D133-D134,0)</f>
        <v>0</v>
      </c>
      <c r="H134" s="437">
        <f>IF(AND(D134&gt;0,B134&gt;0),B134-B131+1,0)</f>
        <v>0</v>
      </c>
      <c r="I134" s="441">
        <f>IF(H134&gt;0,IF(H134&gt;Faktoren!$D$5,Faktoren!$E$4,Faktoren!$E$5),0)</f>
        <v>0</v>
      </c>
      <c r="J134" s="439">
        <f>IF(H134&gt;0,D134*I134,0)</f>
        <v>0</v>
      </c>
      <c r="K134" s="437"/>
      <c r="L134" s="440"/>
      <c r="M134" s="560">
        <f>IF(OR(B134="",D134=""),0,H134+(I$6-B134))</f>
        <v>0</v>
      </c>
      <c r="N134" s="561">
        <f>IF(D134="",0,VLOOKUP(M134,Faktoren!$B$16:$D$55,2)/1000)</f>
        <v>0</v>
      </c>
    </row>
    <row r="135" spans="2:16">
      <c r="B135" s="489"/>
      <c r="C135" s="569">
        <f t="shared" si="12"/>
        <v>1900</v>
      </c>
      <c r="D135" s="492"/>
      <c r="E135" s="437" t="str">
        <f>Textes!A288</f>
        <v>4. Schlachtung</v>
      </c>
      <c r="F135" s="492"/>
      <c r="G135" s="437">
        <f>IF(D131-D132-D133-D134-D135&gt;0,D131-D132-D133-D134-D135,0)</f>
        <v>0</v>
      </c>
      <c r="H135" s="437">
        <f>IF(AND(D135&gt;0,B135&gt;0),B135-B131+1,0)</f>
        <v>0</v>
      </c>
      <c r="I135" s="441">
        <f>IF(H135&gt;0,IF(H135&gt;Faktoren!$D$5,Faktoren!$E$4,Faktoren!$E$5),0)</f>
        <v>0</v>
      </c>
      <c r="J135" s="439">
        <f>IF(H135&gt;0,D135*I135,0)</f>
        <v>0</v>
      </c>
      <c r="K135" s="437"/>
      <c r="L135" s="440"/>
      <c r="M135" s="560">
        <f>IF(OR(B135="",D135=""),0,H135+(I$6-B135))</f>
        <v>0</v>
      </c>
      <c r="N135" s="561">
        <f>IF(D135="",0,VLOOKUP(M135,Faktoren!$B$16:$D$55,2)/1000)</f>
        <v>0</v>
      </c>
    </row>
    <row r="136" spans="2:16" ht="13.5" thickBot="1">
      <c r="B136" s="489"/>
      <c r="C136" s="569">
        <f t="shared" si="12"/>
        <v>1900</v>
      </c>
      <c r="D136" s="492"/>
      <c r="E136" s="437" t="str">
        <f>Textes!A289</f>
        <v>5. Schlachtung</v>
      </c>
      <c r="F136" s="492"/>
      <c r="G136" s="437">
        <f>IF(D131-D132-D133-D134-D135-D136&gt;0,D131-D132-D133-D134-D135-D136,0)</f>
        <v>0</v>
      </c>
      <c r="H136" s="437">
        <f>IF(AND(D136&gt;0,B136&gt;0),B136-B131+1,0)</f>
        <v>0</v>
      </c>
      <c r="I136" s="441">
        <f>IF(H136&gt;0,IF(H136&gt;Faktoren!$D$5,Faktoren!$E$4,Faktoren!$E$5),0)</f>
        <v>0</v>
      </c>
      <c r="J136" s="439">
        <f>IF(H136&gt;0,D136*I136,0)</f>
        <v>0</v>
      </c>
      <c r="K136" s="437"/>
      <c r="L136" s="440"/>
      <c r="M136" s="560">
        <f>IF(OR(B136="",D136=""),0,H136+(I$6-B136))</f>
        <v>0</v>
      </c>
      <c r="N136" s="561">
        <f>IF(D136="",0,VLOOKUP(M136,Faktoren!$B$16:$D$55,2)/1000)</f>
        <v>0</v>
      </c>
    </row>
    <row r="137" spans="2:16" ht="13.5" thickBot="1">
      <c r="B137" s="482" t="str">
        <f>E137</f>
        <v>Abgänge</v>
      </c>
      <c r="C137" s="569" t="e">
        <f>Jahr+1</f>
        <v>#VALUE!</v>
      </c>
      <c r="D137" s="437">
        <f>+D131-D132-D133-D136</f>
        <v>0</v>
      </c>
      <c r="E137" s="437" t="str">
        <f>Textes!A290</f>
        <v>Abgänge</v>
      </c>
      <c r="F137" s="492">
        <f>D137*0.6</f>
        <v>0</v>
      </c>
      <c r="G137" s="437"/>
      <c r="H137" s="437"/>
      <c r="I137" s="438">
        <f>IF(D137&gt;0,Faktoren!$E$7,0)</f>
        <v>0</v>
      </c>
      <c r="J137" s="439">
        <f>IF(D137&gt;0,D137*I137,0)</f>
        <v>0</v>
      </c>
      <c r="K137" s="443">
        <f>SUM(J132:J137)</f>
        <v>0</v>
      </c>
      <c r="L137" s="440"/>
      <c r="M137" s="560">
        <f>IF(MAX(B131:B136)&lt;$I$6,0,VLOOKUP($I$6,B131:G136,6))</f>
        <v>0</v>
      </c>
      <c r="N137" s="454"/>
      <c r="O137" s="557">
        <f>MAX(B131:B136)</f>
        <v>0</v>
      </c>
      <c r="P137" s="553">
        <f>IF(OR($F$6="",I$6="",O137&lt;F$6),99,IF(AND(O137&gt;F$6,O137&lt;I$6),0,1))</f>
        <v>99</v>
      </c>
    </row>
    <row r="138" spans="2:16">
      <c r="B138" s="462"/>
      <c r="C138" s="442"/>
      <c r="D138" s="439">
        <f>IF(D131&gt;0,ROUND(+D137/D131*100,1),0)</f>
        <v>0</v>
      </c>
      <c r="E138" s="437" t="str">
        <f>Textes!A291</f>
        <v>Abgänge in %</v>
      </c>
      <c r="F138" s="437"/>
      <c r="G138" s="445" t="s">
        <v>830</v>
      </c>
      <c r="H138" s="437">
        <f>MAX(H131:H136)</f>
        <v>0</v>
      </c>
      <c r="I138" s="438" t="str">
        <f>Textes!A293</f>
        <v>Tage Stall belegt</v>
      </c>
      <c r="J138" s="439"/>
      <c r="K138" s="437"/>
      <c r="L138" s="440"/>
      <c r="N138" s="553">
        <f>IF(P137=1,$I$6-B131+1,H138)</f>
        <v>0</v>
      </c>
    </row>
    <row r="139" spans="2:16">
      <c r="B139" s="451"/>
      <c r="C139" s="452"/>
      <c r="D139" s="558">
        <f>IF(P137=99,0,IF(P137=0,H138/MAX(H132:H136),IF(P137=1,(H138-(O137-$I$6))/H138,0)))</f>
        <v>0</v>
      </c>
      <c r="E139" s="448" t="str">
        <f>Textes!A292</f>
        <v>Umtriebe</v>
      </c>
      <c r="F139" s="448"/>
      <c r="G139" s="455"/>
      <c r="H139" s="448"/>
      <c r="I139" s="449"/>
      <c r="J139" s="447"/>
      <c r="K139" s="455"/>
      <c r="L139" s="450"/>
    </row>
    <row r="140" spans="2:16">
      <c r="B140" s="442"/>
      <c r="C140" s="442"/>
      <c r="D140" s="439"/>
      <c r="E140" s="437"/>
      <c r="F140" s="437"/>
      <c r="G140" s="445"/>
      <c r="H140" s="437"/>
      <c r="I140" s="438"/>
      <c r="J140" s="439"/>
      <c r="K140" s="437"/>
      <c r="L140" s="437"/>
    </row>
    <row r="141" spans="2:16" ht="13.5" thickBot="1">
      <c r="B141" s="456"/>
      <c r="C141" s="456"/>
      <c r="H141" s="437"/>
    </row>
    <row r="142" spans="2:16" ht="13.5" thickBot="1">
      <c r="B142" s="457" t="str">
        <f>Textes!A295</f>
        <v>Durchschnittlicher Bestand in massgebenden Stück</v>
      </c>
      <c r="C142" s="456"/>
      <c r="K142" s="443">
        <f>IF((K137+K125+K115+K105+K95+K85+K75+K63+K53+K43+K33+K23)&gt;0,(K137+K125+K115+K105+K95+K85+K75+K63+K53+K43+K33+K23)/SUM(G144:G155),0)</f>
        <v>0</v>
      </c>
    </row>
    <row r="143" spans="2:16">
      <c r="B143" s="457"/>
      <c r="C143" s="457"/>
      <c r="D143" s="458"/>
      <c r="H143" s="437"/>
      <c r="I143" s="420"/>
    </row>
    <row r="144" spans="2:16" hidden="1">
      <c r="B144" s="459" t="s">
        <v>847</v>
      </c>
      <c r="C144" s="460"/>
      <c r="D144" s="433"/>
      <c r="E144" s="433"/>
      <c r="F144" s="433"/>
      <c r="G144" s="433">
        <f>IF(AND(K23&gt;0,K33&gt;0,K43&gt;0,K53&gt;0,K63&gt;0,K75&gt;0,K85&gt;0,K95&gt;0,K105&gt;0,K115&gt;0,K125&gt;0,K137&gt;0),12,0)</f>
        <v>0</v>
      </c>
      <c r="H144" s="433"/>
      <c r="I144" s="434"/>
      <c r="J144" s="435"/>
      <c r="K144" s="461"/>
    </row>
    <row r="145" spans="2:12" hidden="1">
      <c r="B145" s="462"/>
      <c r="C145" s="442"/>
      <c r="D145" s="437"/>
      <c r="E145" s="437"/>
      <c r="F145" s="437"/>
      <c r="G145" s="437">
        <f>IF(AND(K23&gt;0,K33&gt;0,K43&gt;0,K53&gt;0,K63&gt;0,K75&gt;0,K85&gt;0,K95&gt;0,K105&gt;0,K115&gt;0,K125&gt;0,K137=0),11,0)</f>
        <v>0</v>
      </c>
      <c r="H145" s="437"/>
      <c r="I145" s="438"/>
      <c r="J145" s="439"/>
      <c r="K145" s="463"/>
    </row>
    <row r="146" spans="2:12" hidden="1">
      <c r="B146" s="462"/>
      <c r="C146" s="442"/>
      <c r="D146" s="437"/>
      <c r="E146" s="437"/>
      <c r="F146" s="437"/>
      <c r="G146" s="437">
        <f>IF(AND(K23&gt;0,K33&gt;0,K43&gt;0,K53&gt;0,K63&gt;0,K75&gt;0,K85&gt;0,K95&gt;0,K105&gt;0,K115&gt;0,K125=0,K137=0),10,0)</f>
        <v>0</v>
      </c>
      <c r="H146" s="437"/>
      <c r="I146" s="438"/>
      <c r="J146" s="439"/>
      <c r="K146" s="463"/>
    </row>
    <row r="147" spans="2:12" hidden="1">
      <c r="B147" s="462"/>
      <c r="C147" s="442"/>
      <c r="D147" s="437"/>
      <c r="E147" s="437"/>
      <c r="F147" s="437"/>
      <c r="G147" s="437">
        <f>IF(AND(K23&gt;0,K33&gt;0,K43&gt;0,K53&gt;0,K63&gt;0,K75&gt;0,K85&gt;0,K95&gt;0,K105&gt;0,K115=0,K125=0,K137=0),9,0)</f>
        <v>0</v>
      </c>
      <c r="H147" s="437"/>
      <c r="I147" s="438"/>
      <c r="J147" s="439"/>
      <c r="K147" s="463"/>
    </row>
    <row r="148" spans="2:12" hidden="1">
      <c r="B148" s="462"/>
      <c r="C148" s="442"/>
      <c r="D148" s="437"/>
      <c r="E148" s="437"/>
      <c r="F148" s="437"/>
      <c r="G148" s="437">
        <f>IF(AND(K23&gt;0,K33&gt;0,K43&gt;0,K53&gt;0,K63&gt;0,K75&gt;0,K85&gt;0,K95&gt;0,K105=0,K115=0,K125=0,K137=0),8,0)</f>
        <v>0</v>
      </c>
      <c r="H148" s="437"/>
      <c r="I148" s="438"/>
      <c r="J148" s="439"/>
      <c r="K148" s="463"/>
    </row>
    <row r="149" spans="2:12" hidden="1">
      <c r="B149" s="462"/>
      <c r="C149" s="442"/>
      <c r="D149" s="437"/>
      <c r="E149" s="437"/>
      <c r="F149" s="437"/>
      <c r="G149" s="437">
        <f>IF(AND(K23&gt;0,K33&gt;0,K43&gt;0,K53&gt;0,K63&gt;0,K75&gt;0,K85&gt;0,K95=0,K105=0,K115=0,K125=0,K137=0),7,0)</f>
        <v>0</v>
      </c>
      <c r="H149" s="437"/>
      <c r="I149" s="438"/>
      <c r="J149" s="439"/>
      <c r="K149" s="463"/>
    </row>
    <row r="150" spans="2:12" hidden="1">
      <c r="B150" s="462"/>
      <c r="C150" s="442"/>
      <c r="D150" s="437"/>
      <c r="E150" s="437"/>
      <c r="F150" s="437"/>
      <c r="G150" s="437">
        <f>IF(AND(K23&gt;0,K33&gt;0,K43&gt;0,K53&gt;0,K63&gt;0,K75&gt;0,K85=0,K95=0,K105=0,K115=0,K125=0,K137=0),6,0)</f>
        <v>0</v>
      </c>
      <c r="H150" s="437"/>
      <c r="I150" s="438"/>
      <c r="J150" s="439"/>
      <c r="K150" s="463"/>
    </row>
    <row r="151" spans="2:12" hidden="1">
      <c r="B151" s="462"/>
      <c r="C151" s="442"/>
      <c r="D151" s="437"/>
      <c r="E151" s="437"/>
      <c r="F151" s="437"/>
      <c r="G151" s="437">
        <f>IF(AND(K23&gt;0,K33&gt;0,K43&gt;0,K53&gt;0,K63&gt;0,K75=0,K85=0,K95=0,K105=0,K115=0,K125=0,K137=0),5,0)</f>
        <v>0</v>
      </c>
      <c r="H151" s="437"/>
      <c r="I151" s="438"/>
      <c r="J151" s="439"/>
      <c r="K151" s="463"/>
    </row>
    <row r="152" spans="2:12" hidden="1">
      <c r="B152" s="462"/>
      <c r="C152" s="442"/>
      <c r="D152" s="437"/>
      <c r="E152" s="437"/>
      <c r="F152" s="437"/>
      <c r="G152" s="437">
        <f>IF(AND(K23&gt;0,K33&gt;0,K43&gt;0,K53&gt;0,K63=0,K75=0,K85=0,K95=0,K105=0,K115=0,K125=0,K137=0),4,0)</f>
        <v>0</v>
      </c>
      <c r="H152" s="437"/>
      <c r="I152" s="438"/>
      <c r="J152" s="439"/>
      <c r="K152" s="463"/>
    </row>
    <row r="153" spans="2:12" hidden="1">
      <c r="B153" s="462"/>
      <c r="C153" s="442"/>
      <c r="D153" s="437"/>
      <c r="E153" s="437"/>
      <c r="F153" s="437"/>
      <c r="G153" s="437">
        <f>IF(AND(K23&gt;0,K33&gt;0,K43&gt;0,K53=0,K63=0,K75=0,K85=0,K95=0,K105=0,K115=0,K125=0,K137=0),3,0)</f>
        <v>0</v>
      </c>
      <c r="H153" s="437"/>
      <c r="I153" s="438"/>
      <c r="J153" s="439"/>
      <c r="K153" s="463"/>
    </row>
    <row r="154" spans="2:12" hidden="1">
      <c r="B154" s="462"/>
      <c r="C154" s="442"/>
      <c r="D154" s="437"/>
      <c r="E154" s="437"/>
      <c r="F154" s="437"/>
      <c r="G154" s="437">
        <f>IF(AND(K23&gt;0,K33&gt;0,K43=0,K53=0,K63=0,K75=0,K85=0,K95=0,K105=0,K115=0,K125=0,K137=0),2,0)</f>
        <v>0</v>
      </c>
      <c r="H154" s="437"/>
      <c r="I154" s="438"/>
      <c r="J154" s="439"/>
      <c r="K154" s="463"/>
    </row>
    <row r="155" spans="2:12" hidden="1">
      <c r="B155" s="451"/>
      <c r="C155" s="452"/>
      <c r="D155" s="448"/>
      <c r="E155" s="448"/>
      <c r="F155" s="448"/>
      <c r="G155" s="448">
        <f>IF(AND(K23&gt;0,K33=0,K43=0,K53=0,K63=0,K75=0,K85=0,K95=0,K105=0,K115=0,K125=0,K137=0),1,0)</f>
        <v>0</v>
      </c>
      <c r="H155" s="448"/>
      <c r="I155" s="449"/>
      <c r="J155" s="447"/>
      <c r="K155" s="464"/>
    </row>
    <row r="156" spans="2:12" hidden="1">
      <c r="B156" s="456"/>
      <c r="C156" s="456"/>
      <c r="K156" s="422"/>
      <c r="L156" s="422"/>
    </row>
    <row r="157" spans="2:12" ht="13.5" thickBot="1">
      <c r="B157" s="456"/>
      <c r="C157" s="456"/>
    </row>
    <row r="158" spans="2:12" ht="13.5" thickBot="1">
      <c r="B158" s="457" t="str">
        <f>Textes!A296</f>
        <v>Anzahl Umtriebe</v>
      </c>
      <c r="C158" s="457"/>
      <c r="D158" s="422"/>
      <c r="E158" s="547">
        <f>SUM(D25,D35,D45,D55,D65,D77,D87,D97,D107,D117,D127,D139)</f>
        <v>0</v>
      </c>
      <c r="F158" s="453"/>
      <c r="H158" s="437"/>
      <c r="I158" s="437"/>
      <c r="J158" s="439"/>
    </row>
    <row r="159" spans="2:12" ht="13.5" thickBot="1">
      <c r="B159" s="457"/>
      <c r="C159" s="457"/>
      <c r="D159" s="422"/>
      <c r="E159" s="453"/>
      <c r="F159" s="453"/>
      <c r="H159" s="437"/>
      <c r="I159" s="420"/>
    </row>
    <row r="160" spans="2:12">
      <c r="B160" s="457" t="str">
        <f>Textes!A297</f>
        <v>Belegungsdauer</v>
      </c>
      <c r="C160" s="457"/>
      <c r="D160" s="422"/>
      <c r="E160" s="698">
        <f>IF((H24+H34+H44+H54+H64+H76+H86+H96+H106+H116+H126+H138)&gt;0,(H24+H34+H44+H54+H64+H76+H86+H96+H106+H116+H126+H138)/SUM(G144:G155),0)</f>
        <v>0</v>
      </c>
      <c r="F160" s="458"/>
      <c r="H160" s="420" t="str">
        <f>Textes!A303</f>
        <v>(Durchschnitt, ohne Leerzeit zwischen</v>
      </c>
      <c r="I160" s="420"/>
    </row>
    <row r="161" spans="1:12" ht="13.5" thickBot="1">
      <c r="B161" s="457" t="str">
        <f>Textes!A298</f>
        <v xml:space="preserve"> je Umtrieb</v>
      </c>
      <c r="C161" s="457"/>
      <c r="D161" s="422"/>
      <c r="E161" s="699"/>
      <c r="F161" s="458"/>
      <c r="H161" s="420" t="str">
        <f>Textes!A304</f>
        <v>den Umtrieben)</v>
      </c>
      <c r="I161" s="420"/>
    </row>
    <row r="162" spans="1:12" ht="13.5" thickBot="1">
      <c r="B162" s="457"/>
      <c r="C162" s="457"/>
      <c r="D162" s="422"/>
      <c r="E162" s="458"/>
      <c r="F162" s="458"/>
      <c r="I162" s="420"/>
    </row>
    <row r="163" spans="1:12">
      <c r="B163" s="457" t="str">
        <f>Textes!A299</f>
        <v>Belegungsdauer</v>
      </c>
      <c r="C163" s="457"/>
      <c r="D163" s="697" t="s">
        <v>853</v>
      </c>
      <c r="E163" s="698">
        <f>(N24+N34+N44+N54+N64+N76+N86+N96+N106+N116+N126+N138)</f>
        <v>0</v>
      </c>
      <c r="F163" s="458"/>
      <c r="H163" s="420" t="str">
        <f>Textes!A305</f>
        <v>(Total Tage, ohne Leerzeit zwischen</v>
      </c>
      <c r="I163" s="420"/>
    </row>
    <row r="164" spans="1:12" ht="13.5" thickBot="1">
      <c r="B164" s="457" t="str">
        <f>Textes!A300</f>
        <v>total</v>
      </c>
      <c r="C164" s="457"/>
      <c r="D164" s="697"/>
      <c r="E164" s="699"/>
      <c r="F164" s="458"/>
      <c r="H164" s="420" t="str">
        <f>Textes!A306</f>
        <v>den Umtrieben)</v>
      </c>
      <c r="I164" s="420"/>
    </row>
    <row r="165" spans="1:12" ht="13.5" thickBot="1">
      <c r="B165" s="457"/>
      <c r="C165" s="457"/>
      <c r="D165" s="422"/>
      <c r="E165" s="458"/>
      <c r="F165" s="458"/>
      <c r="I165" s="420"/>
    </row>
    <row r="166" spans="1:12">
      <c r="B166" s="457" t="str">
        <f>Textes!A301</f>
        <v>Minimale jährliche</v>
      </c>
      <c r="C166" s="457"/>
      <c r="D166" s="697" t="s">
        <v>857</v>
      </c>
      <c r="E166" s="700">
        <v>270</v>
      </c>
      <c r="F166" s="465"/>
      <c r="H166" s="420" t="str">
        <f>Textes!A307</f>
        <v>(minimale Belegungsdauer für</v>
      </c>
      <c r="I166" s="420"/>
    </row>
    <row r="167" spans="1:12" ht="13.5" thickBot="1">
      <c r="B167" s="457" t="str">
        <f>Textes!A302</f>
        <v>Belegungsdauer</v>
      </c>
      <c r="C167" s="457"/>
      <c r="D167" s="697"/>
      <c r="E167" s="701"/>
      <c r="F167" s="466"/>
      <c r="H167" s="420" t="str">
        <f>Textes!A308</f>
        <v>für normale Stallnutzung)</v>
      </c>
      <c r="I167" s="420"/>
    </row>
    <row r="168" spans="1:12" ht="13.5" thickBot="1">
      <c r="B168" s="456"/>
      <c r="C168" s="456"/>
    </row>
    <row r="169" spans="1:12" ht="13.5" thickBot="1">
      <c r="A169" s="439"/>
      <c r="B169" s="467"/>
      <c r="C169" s="468"/>
      <c r="D169" s="469"/>
      <c r="E169" s="469"/>
      <c r="F169" s="469"/>
      <c r="G169" s="469"/>
      <c r="H169" s="469"/>
      <c r="I169" s="470"/>
      <c r="J169" s="471"/>
      <c r="K169" s="469"/>
      <c r="L169" s="472"/>
    </row>
    <row r="170" spans="1:12" ht="13.5" thickBot="1">
      <c r="A170" s="439"/>
      <c r="B170" s="473" t="str">
        <f>Textes!A310</f>
        <v>Durchschnittlicher Bestand Stall 2</v>
      </c>
      <c r="C170" s="442"/>
      <c r="D170" s="437"/>
      <c r="E170" s="437"/>
      <c r="F170" s="437"/>
      <c r="G170" s="437"/>
      <c r="H170" s="437"/>
      <c r="I170" s="438"/>
      <c r="J170" s="439"/>
      <c r="K170" s="443">
        <f>IF(E163&gt;=E166,K142,K142/E166*E163)</f>
        <v>0</v>
      </c>
      <c r="L170" s="474"/>
    </row>
    <row r="171" spans="1:12" ht="13.5" thickBot="1">
      <c r="A171" s="439"/>
      <c r="B171" s="475"/>
      <c r="C171" s="476"/>
      <c r="D171" s="477"/>
      <c r="E171" s="477"/>
      <c r="F171" s="477"/>
      <c r="G171" s="477"/>
      <c r="H171" s="477"/>
      <c r="I171" s="478"/>
      <c r="J171" s="479"/>
      <c r="K171" s="477"/>
      <c r="L171" s="480"/>
    </row>
    <row r="172" spans="1:12">
      <c r="A172" s="439"/>
      <c r="B172" s="442" t="str">
        <f>Textes!A312</f>
        <v>entspricht Bestand in GVE</v>
      </c>
      <c r="C172" s="442"/>
      <c r="D172" s="437"/>
      <c r="E172" s="437"/>
      <c r="F172" s="437"/>
      <c r="G172" s="437"/>
      <c r="H172" s="437"/>
      <c r="I172" s="438"/>
      <c r="J172" s="439"/>
      <c r="K172" s="438">
        <f>K170*Faktoren!E10</f>
        <v>0</v>
      </c>
      <c r="L172" s="437"/>
    </row>
    <row r="173" spans="1:12">
      <c r="A173" s="439"/>
      <c r="B173" s="442"/>
      <c r="C173" s="442"/>
      <c r="D173" s="437"/>
      <c r="E173" s="437"/>
      <c r="F173" s="437"/>
      <c r="G173" s="437"/>
      <c r="H173" s="437"/>
      <c r="I173" s="438"/>
      <c r="J173" s="439"/>
      <c r="K173" s="437"/>
      <c r="L173" s="437"/>
    </row>
    <row r="174" spans="1:12" ht="20.25" customHeight="1">
      <c r="B174" s="29" t="str">
        <f>+Textes!A70</f>
        <v>Kantonale Kontrollstelle, Datum:</v>
      </c>
      <c r="C174" s="537"/>
      <c r="D174" s="538"/>
      <c r="E174" s="538"/>
      <c r="F174" s="538"/>
      <c r="G174" s="538"/>
      <c r="H174" s="30" t="str">
        <f>+Textes!A85</f>
        <v>Unterschrift:</v>
      </c>
      <c r="I174" s="539"/>
      <c r="J174" s="540"/>
      <c r="K174" s="541"/>
    </row>
    <row r="175" spans="1:12" ht="4.5" customHeight="1">
      <c r="B175" s="456"/>
      <c r="C175" s="456"/>
    </row>
    <row r="176" spans="1:12" ht="20.25" customHeight="1">
      <c r="B176" s="29" t="str">
        <f>+Textes!A74</f>
        <v>Betriebsleiter, Datum:</v>
      </c>
      <c r="C176" s="540"/>
      <c r="D176" s="538"/>
      <c r="E176" s="538"/>
      <c r="F176" s="538"/>
      <c r="G176" s="538"/>
      <c r="H176" s="30" t="str">
        <f>+Textes!A85</f>
        <v>Unterschrift:</v>
      </c>
      <c r="I176" s="539"/>
      <c r="J176" s="540"/>
      <c r="K176" s="541"/>
    </row>
    <row r="178" spans="2:2">
      <c r="B178" s="481"/>
    </row>
  </sheetData>
  <sheetProtection password="8C69" sheet="1" scenarios="1"/>
  <mergeCells count="5">
    <mergeCell ref="D166:D167"/>
    <mergeCell ref="E160:E161"/>
    <mergeCell ref="E166:E167"/>
    <mergeCell ref="E163:E164"/>
    <mergeCell ref="D163:D164"/>
  </mergeCells>
  <phoneticPr fontId="0" type="noConversion"/>
  <conditionalFormatting sqref="H25 H35 H45 H55 H65 H77 H87 H97 H107 H117 H127">
    <cfRule type="cellIs" dxfId="1" priority="1" stopIfTrue="1" operator="lessThan">
      <formula>0</formula>
    </cfRule>
  </conditionalFormatting>
  <pageMargins left="0.78740157480314965" right="0.6692913385826772" top="0.47244094488188981" bottom="0.47244094488188981" header="0.39370078740157483" footer="0.39370078740157483"/>
  <pageSetup paperSize="9" scale="75" fitToHeight="0" orientation="portrait" r:id="rId1"/>
  <headerFooter alignWithMargins="0">
    <oddFooter>&amp;L&amp;"Arial,Fett"&amp;11AGRIDEA &amp;"Arial,Standard"&amp;9Impex, Version 2.6&amp;R&amp;"Arial,Standard"&amp;9&amp;D / Seite &amp;P</oddFooter>
  </headerFooter>
  <rowBreaks count="2" manualBreakCount="2">
    <brk id="65" max="10" man="1"/>
    <brk id="127"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5" r:id="rId4" name="Butt Aktualisieren">
              <controlPr defaultSize="0" print="0" autoFill="0" autoLine="0" autoPict="0" macro="[0]!Uebertrag">
                <anchor>
                  <from>
                    <xdr:col>5</xdr:col>
                    <xdr:colOff>304800</xdr:colOff>
                    <xdr:row>1</xdr:row>
                    <xdr:rowOff>85725</xdr:rowOff>
                  </from>
                  <to>
                    <xdr:col>8</xdr:col>
                    <xdr:colOff>304800</xdr:colOff>
                    <xdr:row>1</xdr:row>
                    <xdr:rowOff>447675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0">
    <pageSetUpPr fitToPage="1"/>
  </sheetPr>
  <dimension ref="A1:L102"/>
  <sheetViews>
    <sheetView showGridLines="0" showRowColHeaders="0" showZeros="0" zoomScaleNormal="100" workbookViewId="0">
      <selection activeCell="D18" sqref="D18:E18"/>
    </sheetView>
  </sheetViews>
  <sheetFormatPr baseColWidth="10" defaultColWidth="11.42578125" defaultRowHeight="12.75"/>
  <cols>
    <col min="1" max="1" width="1.7109375" style="590" customWidth="1"/>
    <col min="2" max="2" width="3.7109375" style="590" customWidth="1"/>
    <col min="3" max="3" width="30.7109375" style="590" customWidth="1"/>
    <col min="4" max="5" width="10.7109375" style="590" customWidth="1"/>
    <col min="6" max="6" width="3.7109375" style="590" customWidth="1"/>
    <col min="7" max="12" width="13.7109375" style="590" customWidth="1"/>
    <col min="13" max="16384" width="11.42578125" style="590"/>
  </cols>
  <sheetData>
    <row r="1" spans="1:12" ht="39.950000000000003" customHeight="1">
      <c r="L1" s="601" t="str">
        <f>Textes!A349</f>
        <v>Bedienungsanleitung</v>
      </c>
    </row>
    <row r="2" spans="1:12" ht="9.9499999999999993" customHeight="1">
      <c r="L2" s="601"/>
    </row>
    <row r="3" spans="1:12" ht="18">
      <c r="B3" s="599" t="str">
        <f>Textes!A350</f>
        <v>Inhaltsverzeichnis:</v>
      </c>
      <c r="D3" s="589"/>
      <c r="E3" s="589"/>
    </row>
    <row r="4" spans="1:12" ht="5.0999999999999996" customHeight="1">
      <c r="B4" s="599"/>
    </row>
    <row r="5" spans="1:12" ht="15.75">
      <c r="B5" s="600" t="str">
        <f>Textes!A351</f>
        <v>1 Allgemeine Hinweise zur Bedienung</v>
      </c>
    </row>
    <row r="6" spans="1:12" ht="15.75">
      <c r="B6" s="600" t="str">
        <f>Textes!A352</f>
        <v>2 Hinweise zum Ausfüllen der Tabellenblätter</v>
      </c>
    </row>
    <row r="7" spans="1:12" ht="15.75">
      <c r="B7" s="600" t="str">
        <f>Textes!A353</f>
        <v>2a) Anleitung für Schweine, Junghennen, Masttruten und Kaninchen</v>
      </c>
    </row>
    <row r="8" spans="1:12" ht="15.75">
      <c r="B8" s="600" t="str">
        <f>Textes!A354</f>
        <v>2b) Anleitung für Mastpouletsbetriebe</v>
      </c>
    </row>
    <row r="9" spans="1:12" ht="15.75">
      <c r="B9" s="600" t="str">
        <f>Textes!A355</f>
        <v>2c) Zusätzliche Hinweise für extensive Pouletmastbetriebe</v>
      </c>
    </row>
    <row r="10" spans="1:12" ht="18">
      <c r="A10" s="591"/>
      <c r="B10" s="591"/>
      <c r="C10" s="589"/>
      <c r="D10" s="589"/>
      <c r="E10" s="589"/>
    </row>
    <row r="11" spans="1:12" ht="18">
      <c r="A11" s="589"/>
      <c r="B11" s="589" t="str">
        <f>Textes!A356</f>
        <v>1 Allgemeine Hinweise zur Bedienung</v>
      </c>
      <c r="D11" s="589"/>
      <c r="E11" s="589"/>
      <c r="F11" s="592"/>
      <c r="G11" s="592"/>
      <c r="H11" s="592"/>
    </row>
    <row r="12" spans="1:12" ht="9.9499999999999993" customHeight="1">
      <c r="A12" s="589"/>
      <c r="B12" s="589"/>
      <c r="F12" s="592"/>
      <c r="G12" s="592"/>
      <c r="H12" s="592"/>
    </row>
    <row r="13" spans="1:12" ht="15" customHeight="1">
      <c r="A13" s="589"/>
      <c r="B13" s="589"/>
      <c r="C13" s="589" t="str">
        <f>Textes!A357</f>
        <v xml:space="preserve">Makros: </v>
      </c>
      <c r="D13" s="592" t="str">
        <f>Textes!A358</f>
        <v>Makros müssen zugelassen sein.</v>
      </c>
      <c r="E13" s="592"/>
      <c r="G13" s="592"/>
      <c r="H13" s="592"/>
    </row>
    <row r="14" spans="1:12" ht="15" customHeight="1">
      <c r="A14" s="589"/>
      <c r="B14" s="589"/>
      <c r="C14" s="589"/>
      <c r="D14" s="592" t="str">
        <f>Textes!A359</f>
        <v>Sie erkennen, dass die Makros zugelassen sind, wenn Sie bei der Auswahl der Tierart</v>
      </c>
      <c r="E14" s="592"/>
      <c r="G14" s="592"/>
      <c r="H14" s="592"/>
    </row>
    <row r="15" spans="1:12" ht="15" customHeight="1">
      <c r="A15" s="589"/>
      <c r="B15" s="589"/>
      <c r="C15" s="589"/>
      <c r="D15" s="592" t="str">
        <f>Textes!A360</f>
        <v>z.B. „Mastpoulets“ wählen und damit automatisch auf das Tabellenblatt Poulet1 springen.</v>
      </c>
      <c r="E15" s="592"/>
      <c r="G15" s="592"/>
      <c r="H15" s="592"/>
      <c r="I15" s="592"/>
    </row>
    <row r="16" spans="1:12" ht="15" customHeight="1">
      <c r="A16" s="589"/>
      <c r="B16" s="589"/>
      <c r="C16" s="589"/>
      <c r="D16" s="592" t="str">
        <f>Textes!A361</f>
        <v>=&gt; ausführliche Anleitung:</v>
      </c>
      <c r="E16" s="592"/>
      <c r="G16" s="592" t="str">
        <f>Textes!A362</f>
        <v xml:space="preserve"> www.agridea-lindau.ch &gt; Software &gt; Downloads &gt; Impex 2.6 &gt; Anleitung</v>
      </c>
      <c r="H16" s="592"/>
      <c r="I16" s="592"/>
    </row>
    <row r="17" spans="1:9" ht="15" customHeight="1">
      <c r="A17" s="589"/>
      <c r="B17" s="589"/>
      <c r="G17" s="592"/>
      <c r="H17" s="592"/>
    </row>
    <row r="18" spans="1:9" ht="18">
      <c r="A18" s="589"/>
      <c r="B18" s="589"/>
      <c r="C18" s="589" t="str">
        <f>Textes!A363</f>
        <v xml:space="preserve">Datenerfassung: </v>
      </c>
      <c r="D18" s="691" t="str">
        <f>Textes!A364</f>
        <v>Gelbe Zellen</v>
      </c>
      <c r="E18" s="692"/>
      <c r="G18" s="592" t="str">
        <f>Textes!A365</f>
        <v>Hier können Sie je nach Bedarf Text oder Zahlen eingeben</v>
      </c>
      <c r="I18" s="592"/>
    </row>
    <row r="19" spans="1:9" ht="7.5" customHeight="1">
      <c r="A19" s="589"/>
      <c r="B19" s="589"/>
      <c r="G19" s="592"/>
    </row>
    <row r="20" spans="1:9" ht="18" customHeight="1">
      <c r="A20" s="589"/>
      <c r="B20" s="589"/>
      <c r="D20" s="693" t="str">
        <f>Textes!A366</f>
        <v>Weisse Zellen</v>
      </c>
      <c r="E20" s="692"/>
      <c r="G20" s="592" t="str">
        <f>Textes!A367</f>
        <v>sind grundsätzlich für die Erfassung gesperrt</v>
      </c>
    </row>
    <row r="21" spans="1:9" ht="15" customHeight="1">
      <c r="A21" s="589"/>
      <c r="B21" s="589"/>
      <c r="C21" s="589"/>
      <c r="G21" s="592"/>
      <c r="H21" s="592"/>
    </row>
    <row r="22" spans="1:9" ht="18">
      <c r="A22" s="589"/>
      <c r="B22" s="589"/>
      <c r="C22" s="589" t="str">
        <f>Textes!A368</f>
        <v>Drucken:</v>
      </c>
      <c r="D22" s="592" t="str">
        <f>Textes!A369</f>
        <v>- Excel 2007, 2010 bzw. 2013: Wählen Sie das Menu "Add-Ins"</v>
      </c>
      <c r="E22" s="592"/>
      <c r="G22" s="592"/>
      <c r="H22" s="592"/>
    </row>
    <row r="23" spans="1:9" ht="15" customHeight="1">
      <c r="A23" s="589"/>
      <c r="B23" s="589"/>
      <c r="C23" s="589"/>
      <c r="D23" s="592" t="str">
        <f>Textes!A370</f>
        <v xml:space="preserve">  und das Untermenu "Tabellenblätter"</v>
      </c>
      <c r="E23" s="592"/>
      <c r="G23" s="592"/>
      <c r="H23" s="592"/>
    </row>
    <row r="24" spans="1:9" ht="15" customHeight="1">
      <c r="A24" s="589"/>
      <c r="B24" s="589"/>
      <c r="C24" s="589"/>
      <c r="D24" s="592" t="str">
        <f>Textes!A371</f>
        <v>- Excel 2003: Wählen Sie das Menu "Tabellenblätter"</v>
      </c>
      <c r="E24" s="592"/>
      <c r="G24" s="592"/>
      <c r="H24" s="592"/>
    </row>
    <row r="25" spans="1:9" ht="15" customHeight="1">
      <c r="A25" s="589"/>
      <c r="B25" s="589"/>
      <c r="C25" s="589"/>
      <c r="D25" s="592" t="str">
        <f>Textes!A372</f>
        <v>Beim Aufruf des Untermenus "drucken" erscheint eine Auswahlliste, aus welcher</v>
      </c>
      <c r="E25" s="592"/>
      <c r="G25" s="592"/>
      <c r="H25" s="592"/>
    </row>
    <row r="26" spans="1:9" ht="15" customHeight="1">
      <c r="A26" s="589"/>
      <c r="B26" s="589"/>
      <c r="C26" s="589"/>
      <c r="D26" s="592" t="str">
        <f>Textes!A373</f>
        <v>durch Anklicken einzelne oder mehrere Tabellenblätter für den Druck markiert</v>
      </c>
      <c r="E26" s="592"/>
      <c r="G26" s="592"/>
      <c r="H26" s="592"/>
    </row>
    <row r="27" spans="1:9" ht="15" customHeight="1">
      <c r="A27" s="589"/>
      <c r="B27" s="589"/>
      <c r="C27" s="589"/>
      <c r="D27" s="592" t="str">
        <f>Textes!A374</f>
        <v>werden können. Für die Mehrfachmarkierung halten Sie während des Vorganges</v>
      </c>
      <c r="E27" s="592"/>
      <c r="G27" s="592"/>
      <c r="H27" s="592"/>
    </row>
    <row r="28" spans="1:9" ht="15" customHeight="1">
      <c r="A28" s="589"/>
      <c r="B28" s="589"/>
      <c r="C28" s="589"/>
      <c r="D28" s="592" t="str">
        <f>Textes!A375</f>
        <v>die Ctrl - Taste gedrückt. Das Betätigen der oberen Schaltfläche markiert alle Blätter.</v>
      </c>
      <c r="E28" s="592"/>
      <c r="G28" s="592"/>
      <c r="H28" s="592"/>
    </row>
    <row r="29" spans="1:9" ht="15" customHeight="1">
      <c r="A29" s="589"/>
      <c r="B29" s="589"/>
      <c r="C29" s="589"/>
      <c r="G29" s="592"/>
      <c r="H29" s="592"/>
    </row>
    <row r="30" spans="1:9" ht="18">
      <c r="A30" s="589"/>
      <c r="B30" s="589"/>
      <c r="C30" s="589" t="str">
        <f>Textes!A376</f>
        <v xml:space="preserve">Speichern der Datei: </v>
      </c>
      <c r="D30" s="592" t="str">
        <f>Textes!A377</f>
        <v xml:space="preserve">Achtung bei Excel 2007, 2010 bzw. 2013 müssen Sie beim „Speichern unter“ </v>
      </c>
      <c r="E30" s="592"/>
      <c r="G30" s="592"/>
      <c r="H30" s="592"/>
    </row>
    <row r="31" spans="1:9" ht="15" customHeight="1">
      <c r="A31" s="589"/>
      <c r="B31" s="589"/>
      <c r="C31" s="589"/>
      <c r="D31" s="592" t="str">
        <f>Textes!A378</f>
        <v>den Dateityp „Excel-Arbeitsmappe mit Makros“ (.xlsm) angeben.</v>
      </c>
      <c r="E31" s="592"/>
      <c r="G31" s="592"/>
      <c r="H31" s="592"/>
    </row>
    <row r="32" spans="1:9" ht="15" customHeight="1">
      <c r="A32" s="589"/>
      <c r="B32" s="589"/>
      <c r="C32" s="589"/>
      <c r="G32" s="592"/>
      <c r="H32" s="592"/>
    </row>
    <row r="33" spans="1:8" ht="18">
      <c r="A33" s="589"/>
      <c r="B33" s="589" t="str">
        <f>Textes!A379</f>
        <v>2 Hinweise zum Ausfüllen der Tabellenblätter</v>
      </c>
      <c r="D33" s="589"/>
      <c r="E33" s="589"/>
      <c r="F33" s="592"/>
      <c r="G33" s="592"/>
      <c r="H33" s="592"/>
    </row>
    <row r="34" spans="1:8" ht="9.9499999999999993" customHeight="1">
      <c r="A34" s="589"/>
      <c r="B34" s="589"/>
      <c r="C34" s="589"/>
      <c r="D34" s="589"/>
      <c r="E34" s="589"/>
      <c r="F34" s="592"/>
      <c r="G34" s="592"/>
      <c r="H34" s="592"/>
    </row>
    <row r="35" spans="1:8" ht="15" customHeight="1">
      <c r="A35" s="592"/>
      <c r="B35" s="592"/>
      <c r="C35" s="592" t="str">
        <f>Textes!A380</f>
        <v>Halten Sie alle Unterlagen griffbereit (Auszüge Futtermittel, Schlachtgewichte, …)</v>
      </c>
      <c r="D35" s="592"/>
      <c r="E35" s="592"/>
      <c r="G35" s="592"/>
      <c r="H35" s="592"/>
    </row>
    <row r="36" spans="1:8" ht="15" customHeight="1">
      <c r="A36" s="592"/>
      <c r="B36" s="592"/>
      <c r="C36" s="592" t="str">
        <f>Textes!A381</f>
        <v>Keine Kommas! Alle Kommastellen und Daten sind mit einem Punkt (".") einzugeben.</v>
      </c>
      <c r="D36" s="592"/>
      <c r="E36" s="592"/>
      <c r="G36" s="592"/>
      <c r="H36" s="592"/>
    </row>
    <row r="37" spans="1:8" ht="15" customHeight="1">
      <c r="A37" s="592"/>
      <c r="B37" s="592"/>
      <c r="C37" s="592"/>
      <c r="D37" s="592"/>
      <c r="E37" s="592"/>
      <c r="G37" s="592"/>
      <c r="H37" s="592"/>
    </row>
    <row r="38" spans="1:8" ht="18">
      <c r="C38" s="589" t="str">
        <f>Textes!A382</f>
        <v>2a) Anleitung für Schweine, Junghennen, Masttruten und Kaninchen</v>
      </c>
      <c r="G38" s="592"/>
      <c r="H38" s="592"/>
    </row>
    <row r="39" spans="1:8" ht="9.9499999999999993" customHeight="1">
      <c r="C39" s="589"/>
      <c r="G39" s="592"/>
      <c r="H39" s="592"/>
    </row>
    <row r="40" spans="1:8" ht="15" customHeight="1">
      <c r="A40" s="592"/>
      <c r="B40" s="592"/>
      <c r="C40" s="592" t="str">
        <f>Textes!A383</f>
        <v>1. Start bei Tabellenblatt Inv [=Inventar]:</v>
      </c>
      <c r="D40" s="593"/>
      <c r="E40" s="592" t="str">
        <f>Textes!A384</f>
        <v xml:space="preserve"> Wählen Sie die Sprache, erfassen Sie Ihre Adresse, die Periode und Tierart</v>
      </c>
      <c r="G40" s="592"/>
      <c r="H40" s="592"/>
    </row>
    <row r="41" spans="1:8" ht="15" customHeight="1">
      <c r="A41" s="592"/>
      <c r="B41" s="592"/>
      <c r="C41" s="592"/>
      <c r="G41" s="592"/>
      <c r="H41" s="592"/>
    </row>
    <row r="42" spans="1:8" ht="15" customHeight="1">
      <c r="A42" s="592"/>
      <c r="B42" s="592"/>
      <c r="C42" s="592" t="str">
        <f>Textes!A385</f>
        <v>2. Datenerfassung auf folgenden Datenblättern (Mastpoulet =&gt; siehe Punkt 2b):</v>
      </c>
      <c r="D42" s="593"/>
      <c r="E42" s="593"/>
      <c r="F42" s="593"/>
      <c r="G42" s="592"/>
      <c r="H42" s="592"/>
    </row>
    <row r="43" spans="1:8" ht="15" customHeight="1">
      <c r="A43" s="592"/>
      <c r="B43" s="592"/>
      <c r="C43" s="592"/>
      <c r="E43" s="592" t="str">
        <f>Textes!A386</f>
        <v>- zusätzlich auf dem Tabellenblatt Inv: Inventar der Futtermittel und Tiere</v>
      </c>
      <c r="G43" s="594"/>
      <c r="H43" s="592"/>
    </row>
    <row r="44" spans="1:8" ht="15" customHeight="1">
      <c r="A44" s="592"/>
      <c r="B44" s="592"/>
      <c r="C44" s="592"/>
      <c r="E44" s="592" t="str">
        <f>Textes!A387</f>
        <v xml:space="preserve">   Achtung: Futtergehalte immer in g pro kg erfassen!</v>
      </c>
      <c r="G44" s="594"/>
      <c r="H44" s="592"/>
    </row>
    <row r="45" spans="1:8" ht="15" customHeight="1">
      <c r="A45" s="592"/>
      <c r="B45" s="592"/>
      <c r="C45" s="592"/>
      <c r="E45" s="592" t="str">
        <f>Textes!A388</f>
        <v>- Tabellenblätter A1a-e: Alle Tierzugänge</v>
      </c>
      <c r="G45" s="594"/>
      <c r="H45" s="592"/>
    </row>
    <row r="46" spans="1:8" ht="15" customHeight="1">
      <c r="A46" s="592"/>
      <c r="B46" s="592"/>
      <c r="C46" s="592"/>
      <c r="E46" s="592" t="str">
        <f>Textes!A389</f>
        <v>- Tabellenblätter A2a-e: alle Tierausgänge</v>
      </c>
      <c r="G46" s="594"/>
      <c r="H46" s="592"/>
    </row>
    <row r="47" spans="1:8" ht="15" customHeight="1">
      <c r="A47" s="592"/>
      <c r="B47" s="592"/>
      <c r="C47" s="592"/>
      <c r="E47" s="610" t="str">
        <f>Textes!A390</f>
        <v xml:space="preserve">   Bei Schweinen: Aufteilung der Tierkategorien auf verschiedene Tabellenblätter</v>
      </c>
      <c r="G47" s="594"/>
      <c r="H47" s="592"/>
    </row>
    <row r="48" spans="1:8" ht="15" customHeight="1">
      <c r="A48" s="592"/>
      <c r="B48" s="592"/>
      <c r="C48" s="592"/>
      <c r="E48" s="610" t="str">
        <f>Textes!A391</f>
        <v xml:space="preserve">   und Wahl der richtigen Schlachtausbeute. Bsp: Auf A2a Mastschweine erfassen,</v>
      </c>
      <c r="G48" s="594"/>
      <c r="H48" s="592"/>
    </row>
    <row r="49" spans="1:9" ht="15" customHeight="1">
      <c r="A49" s="592"/>
      <c r="B49" s="592"/>
      <c r="C49" s="592"/>
      <c r="E49" s="610" t="str">
        <f>Textes!A392</f>
        <v xml:space="preserve">   auf A2b Muttersauen gebrüht, auf A2c Muttersauen gehäutet, etc.</v>
      </c>
      <c r="G49" s="594"/>
      <c r="H49" s="592"/>
    </row>
    <row r="50" spans="1:9" ht="15" customHeight="1">
      <c r="A50" s="592"/>
      <c r="B50" s="592"/>
      <c r="C50" s="592"/>
      <c r="E50" s="592" t="str">
        <f>Textes!A393</f>
        <v>- Tabellenblätter B1-5: alle Futtermittel</v>
      </c>
      <c r="G50" s="594"/>
      <c r="H50" s="592"/>
    </row>
    <row r="51" spans="1:9" ht="15" customHeight="1">
      <c r="A51" s="592"/>
      <c r="B51" s="592"/>
      <c r="C51" s="592"/>
      <c r="E51" s="592" t="str">
        <f>Textes!A394</f>
        <v>- Tabellenblatt Impex: zeigt die Resultate. Tierbilanz bei Mastschweinen muss Null sein.</v>
      </c>
      <c r="G51" s="594"/>
      <c r="H51" s="592"/>
    </row>
    <row r="52" spans="1:9" ht="15" customHeight="1">
      <c r="A52" s="592"/>
      <c r="B52" s="592"/>
      <c r="C52" s="592"/>
      <c r="E52" s="592" t="str">
        <f>Textes!A395</f>
        <v xml:space="preserve">- Tabellenblatt Plausi: Durchschnittsbestand eintragen und massgebenden Nährstoffanfall  </v>
      </c>
      <c r="G52" s="594"/>
      <c r="H52" s="592"/>
    </row>
    <row r="53" spans="1:9" ht="15" customHeight="1">
      <c r="A53" s="592"/>
      <c r="B53" s="592"/>
      <c r="C53" s="592"/>
      <c r="E53" s="592" t="str">
        <f>Textes!A396</f>
        <v xml:space="preserve">   auf Suisse-Bilanz übertragen</v>
      </c>
      <c r="G53" s="594"/>
      <c r="H53" s="592"/>
    </row>
    <row r="54" spans="1:9" ht="15" customHeight="1">
      <c r="A54" s="592"/>
      <c r="B54" s="592"/>
      <c r="C54" s="592"/>
      <c r="D54" s="589"/>
      <c r="E54" s="589"/>
      <c r="F54" s="593"/>
      <c r="G54" s="594"/>
      <c r="H54" s="592"/>
    </row>
    <row r="55" spans="1:9" ht="18">
      <c r="A55" s="589"/>
      <c r="B55" s="589"/>
      <c r="C55" s="589" t="str">
        <f>Textes!A397</f>
        <v>2b) Anleitung für Mastpouletbetriebe</v>
      </c>
      <c r="D55" s="589"/>
      <c r="E55" s="589"/>
      <c r="F55" s="593"/>
      <c r="G55" s="592"/>
      <c r="H55" s="592"/>
    </row>
    <row r="56" spans="1:9" ht="9.9499999999999993" customHeight="1">
      <c r="A56" s="592"/>
      <c r="B56" s="592"/>
      <c r="C56" s="589"/>
      <c r="D56" s="589"/>
      <c r="E56" s="589"/>
      <c r="F56" s="593"/>
      <c r="G56" s="592"/>
      <c r="H56" s="592"/>
    </row>
    <row r="57" spans="1:9" ht="15">
      <c r="A57" s="592"/>
      <c r="B57" s="592"/>
      <c r="C57" s="592" t="str">
        <f>Textes!A398</f>
        <v xml:space="preserve">1. Start bei Tabellenblatt Inv [Inventar]: </v>
      </c>
      <c r="D57" s="593"/>
      <c r="E57" s="592" t="str">
        <f>Textes!A399</f>
        <v>Wahl der Sprache, Erfassen von Adresse und Periode.</v>
      </c>
      <c r="F57" s="594"/>
      <c r="H57" s="592"/>
    </row>
    <row r="58" spans="1:9" ht="15">
      <c r="A58" s="592"/>
      <c r="B58" s="592"/>
      <c r="C58" s="595"/>
      <c r="E58" s="592" t="str">
        <f>Textes!A400</f>
        <v>Die Periode ist immer 1.1.20xx – 31.12.20xx. Das Tierinventar ist NICHT zu erfassen.</v>
      </c>
      <c r="F58" s="594"/>
      <c r="H58" s="592"/>
    </row>
    <row r="59" spans="1:9" ht="15">
      <c r="A59" s="592"/>
      <c r="B59" s="592"/>
      <c r="C59" s="595"/>
      <c r="E59" s="592" t="str">
        <f>Textes!A401</f>
        <v>Auswahl der Tierart Mastpoulets =&gt; automatisches Springen auf Tabellenblatt Poulet1</v>
      </c>
      <c r="F59" s="594"/>
      <c r="H59" s="592"/>
    </row>
    <row r="60" spans="1:9" ht="5.25" customHeight="1">
      <c r="A60" s="592"/>
      <c r="B60" s="592"/>
      <c r="C60" s="595"/>
      <c r="E60" s="593"/>
      <c r="F60" s="594"/>
      <c r="H60" s="592"/>
    </row>
    <row r="61" spans="1:9" ht="15" customHeight="1">
      <c r="A61" s="592"/>
      <c r="B61" s="592"/>
      <c r="C61" s="592" t="str">
        <f>Textes!A402</f>
        <v>2. Tabellenblatt Poulet1, Poulet2, …:</v>
      </c>
      <c r="D61" s="592"/>
      <c r="E61" s="592" t="str">
        <f>Textes!A403</f>
        <v>Erfassen Sie Daten und Stückzahlen aller Umtriebe.</v>
      </c>
      <c r="F61" s="594"/>
      <c r="H61" s="592"/>
      <c r="I61" s="592"/>
    </row>
    <row r="62" spans="1:9" ht="15" customHeight="1">
      <c r="A62" s="592"/>
      <c r="B62" s="592"/>
      <c r="C62" s="595"/>
      <c r="D62" s="595"/>
      <c r="E62" s="592" t="str">
        <f>Textes!A404</f>
        <v>Achtung, im letzten Jahr angefangene bzw. Umtriebe, die erst im Folgejahr</v>
      </c>
      <c r="F62" s="594"/>
      <c r="H62" s="592"/>
    </row>
    <row r="63" spans="1:9" ht="15" customHeight="1">
      <c r="A63" s="592"/>
      <c r="B63" s="592"/>
      <c r="C63" s="595"/>
      <c r="D63" s="592"/>
      <c r="E63" s="592" t="str">
        <f>Textes!A405</f>
        <v xml:space="preserve">abgeschlossen sind, sind GANZ zu erfassen. </v>
      </c>
      <c r="F63" s="594"/>
      <c r="H63" s="592"/>
      <c r="I63" s="592"/>
    </row>
    <row r="64" spans="1:9" ht="15" customHeight="1">
      <c r="A64" s="592"/>
      <c r="B64" s="592"/>
      <c r="C64" s="595"/>
      <c r="E64" s="592" t="str">
        <f>Textes!A406</f>
        <v xml:space="preserve">Das Programm berechnet die Abgrenzung automatisch. </v>
      </c>
      <c r="F64" s="594"/>
      <c r="H64" s="592"/>
    </row>
    <row r="65" spans="1:9" ht="15" customHeight="1">
      <c r="A65" s="592"/>
      <c r="B65" s="592"/>
      <c r="C65" s="595"/>
      <c r="E65" s="592" t="str">
        <f>Textes!A407</f>
        <v>Ist der ausgewiesene Durchschnittsbestand &gt; 3'000 Stück muss auch das Lebendgewicht</v>
      </c>
      <c r="F65" s="594"/>
      <c r="H65" s="592"/>
    </row>
    <row r="66" spans="1:9" ht="15" customHeight="1">
      <c r="A66" s="592"/>
      <c r="B66" s="592"/>
      <c r="C66" s="592"/>
      <c r="D66" s="593"/>
      <c r="E66" s="592" t="str">
        <f>Textes!A408</f>
        <v>erfasst werden und eine vollständige Import/Exportbilanz ausgefüllt werden.</v>
      </c>
      <c r="F66" s="594"/>
      <c r="H66" s="592"/>
    </row>
    <row r="67" spans="1:9" ht="15" customHeight="1">
      <c r="A67" s="592"/>
      <c r="B67" s="592"/>
      <c r="C67" s="596"/>
      <c r="D67" s="593"/>
      <c r="E67" s="592" t="str">
        <f>Textes!A409</f>
        <v>Ist der errechnete Durchschnittsbestand &lt; 3'000 Stück, so muss</v>
      </c>
      <c r="F67" s="594"/>
      <c r="H67" s="592"/>
    </row>
    <row r="68" spans="1:9" ht="15" customHeight="1">
      <c r="A68" s="592"/>
      <c r="B68" s="592"/>
      <c r="C68" s="596"/>
      <c r="D68" s="593"/>
      <c r="E68" s="592" t="str">
        <f>Textes!A410</f>
        <v>das Lebendgewicht nicht erfasst werden.</v>
      </c>
      <c r="F68" s="594"/>
      <c r="H68" s="592"/>
    </row>
    <row r="69" spans="1:9" ht="5.25" customHeight="1">
      <c r="A69" s="592"/>
      <c r="B69" s="592"/>
      <c r="C69" s="596"/>
      <c r="D69" s="597"/>
      <c r="F69" s="594"/>
      <c r="H69" s="592"/>
    </row>
    <row r="70" spans="1:9" ht="15">
      <c r="A70" s="592"/>
      <c r="B70" s="592"/>
      <c r="C70" s="592" t="str">
        <f>Textes!A411</f>
        <v xml:space="preserve">3. Schaltfläche „Zu- und Verkäufe </v>
      </c>
      <c r="D70" s="593"/>
      <c r="E70" s="592" t="str">
        <f>Textes!A413</f>
        <v>Überträgt alle Tierzu- und Weggänge in die Blätter A1a-c und A2a-c.</v>
      </c>
      <c r="F70" s="594"/>
      <c r="H70" s="592"/>
    </row>
    <row r="71" spans="1:9" ht="15">
      <c r="A71" s="592"/>
      <c r="B71" s="592"/>
      <c r="C71" s="592" t="str">
        <f>Textes!A412</f>
        <v xml:space="preserve">    nach A1a und A2a übertragen“ </v>
      </c>
      <c r="D71" s="593"/>
      <c r="E71" s="592" t="str">
        <f>Textes!A414</f>
        <v>Achtung, zuerst alle Umtriebe erfassen.</v>
      </c>
      <c r="F71" s="594"/>
      <c r="H71" s="592"/>
    </row>
    <row r="72" spans="1:9" ht="5.25" customHeight="1">
      <c r="A72" s="592"/>
      <c r="B72" s="592"/>
      <c r="C72" s="595"/>
      <c r="F72" s="594"/>
      <c r="H72" s="592"/>
    </row>
    <row r="73" spans="1:9" ht="15">
      <c r="A73" s="592"/>
      <c r="B73" s="592"/>
      <c r="C73" s="592" t="str">
        <f>Textes!A415</f>
        <v>4. Tabellenblatt Inv:</v>
      </c>
      <c r="D73" s="593"/>
      <c r="E73" s="592" t="str">
        <f>Textes!A416</f>
        <v>Sie erfassen die Gehalte der Futtermittel, die Anfangs- und Endbestände.</v>
      </c>
      <c r="F73" s="594"/>
      <c r="H73" s="592"/>
    </row>
    <row r="74" spans="1:9" ht="15">
      <c r="A74" s="592"/>
      <c r="B74" s="592"/>
      <c r="C74" s="592"/>
      <c r="D74" s="593"/>
      <c r="E74" s="592" t="str">
        <f>Textes!A417</f>
        <v>Achtung, Futtermittelgehalte in Gramm erfassen. Bsp.: 21% RP = 210 g RP pro kg Futter</v>
      </c>
      <c r="F74" s="594"/>
      <c r="H74" s="592"/>
    </row>
    <row r="75" spans="1:9" ht="5.25" customHeight="1">
      <c r="A75" s="592"/>
      <c r="B75" s="592"/>
      <c r="C75" s="595"/>
      <c r="E75" s="592"/>
      <c r="F75" s="594"/>
      <c r="H75" s="592"/>
    </row>
    <row r="76" spans="1:9" ht="15">
      <c r="A76" s="592"/>
      <c r="B76" s="592"/>
      <c r="C76" s="592" t="str">
        <f>Textes!A418</f>
        <v>5. Tabellenblatt B1-B4:</v>
      </c>
      <c r="D76" s="593"/>
      <c r="E76" s="592" t="str">
        <f>Textes!A419</f>
        <v>Sie erfassen die Mengen der zugekauften Futtermittel.</v>
      </c>
      <c r="F76" s="594"/>
      <c r="H76" s="592"/>
    </row>
    <row r="77" spans="1:9" ht="15">
      <c r="A77" s="592"/>
      <c r="B77" s="592"/>
      <c r="C77" s="592"/>
      <c r="D77" s="593"/>
      <c r="E77" s="592" t="str">
        <f>Textes!A420</f>
        <v>Abgleich der Jahresliefermenge mit Auszügen der Futtermühle.</v>
      </c>
      <c r="F77" s="594"/>
      <c r="H77" s="592"/>
    </row>
    <row r="78" spans="1:9" ht="5.25" customHeight="1">
      <c r="A78" s="592"/>
      <c r="B78" s="592"/>
      <c r="C78" s="595"/>
      <c r="E78" s="592"/>
      <c r="F78" s="594"/>
      <c r="H78" s="592"/>
    </row>
    <row r="79" spans="1:9" ht="15">
      <c r="A79" s="592"/>
      <c r="B79" s="592"/>
      <c r="C79" s="592" t="str">
        <f>Textes!A421</f>
        <v>6. Tabellenblatt Poulet_tot:</v>
      </c>
      <c r="D79" s="593"/>
      <c r="E79" s="592" t="str">
        <f>Textes!A422</f>
        <v>Resultate zum Durchschnittsbestand</v>
      </c>
      <c r="F79" s="594"/>
      <c r="H79" s="592"/>
      <c r="I79" s="592"/>
    </row>
    <row r="80" spans="1:9" ht="5.25" customHeight="1">
      <c r="A80" s="592"/>
      <c r="B80" s="592"/>
      <c r="C80" s="595"/>
      <c r="E80" s="592"/>
      <c r="F80" s="594"/>
      <c r="H80" s="592"/>
      <c r="I80" s="592"/>
    </row>
    <row r="81" spans="1:9" ht="15">
      <c r="A81" s="592"/>
      <c r="B81" s="592"/>
      <c r="C81" s="592" t="str">
        <f>Textes!A423</f>
        <v>7. Tabellenblatt Impex:</v>
      </c>
      <c r="D81" s="593"/>
      <c r="E81" s="592" t="str">
        <f>Textes!A424</f>
        <v xml:space="preserve">Resultate für die Import-Export-Bilanz. </v>
      </c>
      <c r="F81" s="594"/>
      <c r="H81" s="592"/>
      <c r="I81" s="592"/>
    </row>
    <row r="82" spans="1:9" ht="15">
      <c r="A82" s="592"/>
      <c r="B82" s="592"/>
      <c r="C82" s="595"/>
      <c r="E82" s="592" t="str">
        <f>Textes!A425</f>
        <v>Achtung zur Kontrolle: Tierbilanz muss Null sein, Futterverwertung soll plausibel sein.</v>
      </c>
      <c r="F82" s="594"/>
      <c r="H82" s="592"/>
      <c r="I82" s="592"/>
    </row>
    <row r="83" spans="1:9" ht="5.25" customHeight="1">
      <c r="A83" s="592"/>
      <c r="B83" s="592"/>
      <c r="C83" s="595"/>
      <c r="E83" s="592"/>
      <c r="F83" s="594"/>
      <c r="H83" s="592"/>
      <c r="I83" s="592"/>
    </row>
    <row r="84" spans="1:9" ht="15">
      <c r="A84" s="592"/>
      <c r="B84" s="592"/>
      <c r="C84" s="592" t="str">
        <f>Textes!A426</f>
        <v>8. Tabellenblatt Plausi:</v>
      </c>
      <c r="E84" s="592" t="str">
        <f>Textes!A427</f>
        <v>Massgebenden Nährstoffanfall auf Suisse-Bilanz übertragen.</v>
      </c>
      <c r="F84" s="594"/>
      <c r="H84" s="592"/>
      <c r="I84" s="592"/>
    </row>
    <row r="85" spans="1:9" ht="18">
      <c r="A85" s="592"/>
      <c r="B85" s="592"/>
      <c r="C85" s="589"/>
      <c r="D85" s="589"/>
      <c r="E85" s="592"/>
      <c r="F85" s="594"/>
      <c r="H85" s="592"/>
      <c r="I85" s="592"/>
    </row>
    <row r="86" spans="1:9" ht="15" customHeight="1">
      <c r="A86" s="592"/>
      <c r="B86" s="592"/>
      <c r="C86" s="589" t="str">
        <f>Textes!A428</f>
        <v>2c) Zusätzliche Hinweise für extensive Pouletmäster (Bio)</v>
      </c>
      <c r="D86" s="593"/>
      <c r="E86" s="592"/>
      <c r="F86" s="594"/>
      <c r="H86" s="592"/>
    </row>
    <row r="87" spans="1:9" ht="9.9499999999999993" customHeight="1">
      <c r="A87" s="592"/>
      <c r="B87" s="592"/>
      <c r="E87" s="592"/>
      <c r="F87" s="594"/>
      <c r="H87" s="592"/>
    </row>
    <row r="88" spans="1:9" ht="15" customHeight="1">
      <c r="A88" s="592"/>
      <c r="B88" s="592"/>
      <c r="C88" s="595" t="str">
        <f>Textes!A429</f>
        <v xml:space="preserve">Betriebe mit Vor- und Ausmaststall: </v>
      </c>
      <c r="E88" s="595" t="str">
        <f>Textes!A431</f>
        <v xml:space="preserve">Erfassen die Umtriebe alternierend auf Tabellenblatt Poulet1 und Poulet 2. </v>
      </c>
      <c r="F88" s="594"/>
      <c r="H88" s="592"/>
    </row>
    <row r="89" spans="1:9" ht="15" customHeight="1">
      <c r="A89" s="592"/>
      <c r="B89" s="592"/>
      <c r="C89" s="595" t="str">
        <f>Textes!A430</f>
        <v xml:space="preserve"> </v>
      </c>
      <c r="E89" s="595" t="str">
        <f>Textes!A432</f>
        <v>Beispiel: Umtriebe 1, 3, 5 =&gt; Tabellenblatt Poulet 1; Umtriebe 2, 4, 6 =&gt; Tabellenblatt Poulet2</v>
      </c>
      <c r="F89" s="594"/>
      <c r="H89" s="592"/>
    </row>
    <row r="90" spans="1:9" ht="15" customHeight="1">
      <c r="A90" s="592"/>
      <c r="B90" s="592"/>
      <c r="C90" s="592"/>
      <c r="D90" s="592"/>
      <c r="E90" s="592"/>
      <c r="G90" s="594"/>
      <c r="H90" s="592"/>
    </row>
    <row r="91" spans="1:9" ht="18">
      <c r="A91" s="592"/>
      <c r="B91" s="592"/>
      <c r="C91" s="589"/>
      <c r="D91" s="589"/>
      <c r="E91" s="589"/>
      <c r="F91" s="589"/>
      <c r="G91" s="594"/>
      <c r="H91" s="592"/>
    </row>
    <row r="92" spans="1:9" ht="18">
      <c r="A92" s="592"/>
      <c r="B92" s="592"/>
      <c r="C92" s="592"/>
      <c r="D92" s="592"/>
      <c r="E92" s="592"/>
      <c r="F92" s="589"/>
      <c r="G92" s="594"/>
      <c r="H92" s="592"/>
    </row>
    <row r="93" spans="1:9" ht="18">
      <c r="A93" s="592"/>
      <c r="B93" s="592"/>
      <c r="C93" s="592"/>
      <c r="D93" s="592"/>
      <c r="E93" s="592"/>
      <c r="F93" s="589"/>
      <c r="G93" s="592"/>
      <c r="H93" s="592"/>
    </row>
    <row r="94" spans="1:9" ht="18">
      <c r="A94" s="592"/>
      <c r="B94" s="592"/>
      <c r="C94" s="592"/>
      <c r="D94" s="592"/>
      <c r="E94" s="592"/>
      <c r="F94" s="589"/>
      <c r="G94" s="594"/>
      <c r="H94" s="592"/>
    </row>
    <row r="95" spans="1:9" ht="18">
      <c r="A95" s="592"/>
      <c r="B95" s="592"/>
      <c r="C95" s="592"/>
      <c r="D95" s="592"/>
      <c r="E95" s="592"/>
      <c r="F95" s="589"/>
      <c r="G95" s="594"/>
      <c r="H95" s="592"/>
    </row>
    <row r="96" spans="1:9" ht="14.25">
      <c r="A96" s="592"/>
      <c r="B96" s="592"/>
      <c r="C96" s="592"/>
      <c r="D96" s="592"/>
      <c r="E96" s="592"/>
      <c r="F96" s="592"/>
      <c r="G96" s="592"/>
      <c r="H96" s="592"/>
    </row>
    <row r="97" spans="1:8" ht="15">
      <c r="A97" s="592"/>
      <c r="B97" s="592"/>
      <c r="C97" s="593"/>
      <c r="D97" s="593"/>
      <c r="E97" s="593"/>
      <c r="F97" s="592"/>
      <c r="G97" s="592"/>
      <c r="H97" s="592"/>
    </row>
    <row r="98" spans="1:8" ht="15">
      <c r="A98" s="592"/>
      <c r="B98" s="592"/>
      <c r="C98" s="593"/>
      <c r="D98" s="593"/>
      <c r="E98" s="593"/>
      <c r="F98" s="592"/>
      <c r="G98" s="592"/>
      <c r="H98" s="592"/>
    </row>
    <row r="99" spans="1:8" ht="15">
      <c r="A99" s="592"/>
      <c r="B99" s="592"/>
      <c r="C99" s="593"/>
      <c r="D99" s="593"/>
      <c r="E99" s="593"/>
      <c r="F99" s="592"/>
      <c r="G99" s="592"/>
      <c r="H99" s="592"/>
    </row>
    <row r="100" spans="1:8" ht="15">
      <c r="A100" s="592"/>
      <c r="B100" s="592"/>
      <c r="C100" s="593"/>
      <c r="D100" s="593"/>
      <c r="E100" s="593"/>
      <c r="F100" s="592"/>
      <c r="G100" s="592"/>
      <c r="H100" s="592"/>
    </row>
    <row r="101" spans="1:8" ht="14.25">
      <c r="A101" s="592"/>
      <c r="B101" s="592"/>
      <c r="F101" s="592"/>
      <c r="G101" s="592"/>
      <c r="H101" s="592"/>
    </row>
    <row r="102" spans="1:8" ht="14.25">
      <c r="A102" s="592"/>
      <c r="B102" s="592"/>
      <c r="F102" s="592"/>
      <c r="G102" s="592"/>
      <c r="H102" s="592"/>
    </row>
  </sheetData>
  <sheetProtection password="8C69" sheet="1" scenarios="1"/>
  <mergeCells count="2">
    <mergeCell ref="D18:E18"/>
    <mergeCell ref="D20:E20"/>
  </mergeCells>
  <phoneticPr fontId="28" type="noConversion"/>
  <pageMargins left="0.71" right="0.49" top="0.66" bottom="0.44" header="0.41" footer="0.25"/>
  <pageSetup paperSize="9" scale="60" orientation="portrait" r:id="rId1"/>
  <headerFooter alignWithMargins="0">
    <oddFooter>&amp;C&amp;9&amp;F&amp;L&amp;"Arial,Fett"&amp;11AGRIDEA &amp;"Arial,Standard"&amp;9Impex, Version 2.6&amp;R&amp;"Arial,Standard"&amp;9&amp;D / Seite &amp;P</oddFooter>
  </headerFooter>
  <rowBreaks count="1" manualBreakCount="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6" r:id="rId4" name="Button 4">
              <controlPr defaultSize="0" print="0" autoFill="0" autoLine="0" autoPict="0" macro="[0]!ZuInventar">
                <anchor moveWithCells="1" sizeWithCells="1">
                  <from>
                    <xdr:col>2</xdr:col>
                    <xdr:colOff>28575</xdr:colOff>
                    <xdr:row>89</xdr:row>
                    <xdr:rowOff>114300</xdr:rowOff>
                  </from>
                  <to>
                    <xdr:col>10</xdr:col>
                    <xdr:colOff>76200</xdr:colOff>
                    <xdr:row>90</xdr:row>
                    <xdr:rowOff>171450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7">
    <pageSetUpPr fitToPage="1"/>
  </sheetPr>
  <dimension ref="A1:P178"/>
  <sheetViews>
    <sheetView showGridLines="0" showRowColHeaders="0" showZeros="0" zoomScaleNormal="100" workbookViewId="0">
      <pane ySplit="15" topLeftCell="A16" activePane="bottomLeft" state="frozen"/>
      <selection activeCell="D19" sqref="D19"/>
      <selection pane="bottomLeft" activeCell="B17" sqref="B17"/>
    </sheetView>
  </sheetViews>
  <sheetFormatPr baseColWidth="10" defaultColWidth="11.5703125" defaultRowHeight="12.75"/>
  <cols>
    <col min="1" max="1" width="2.7109375" style="422" customWidth="1"/>
    <col min="2" max="2" width="11.5703125" style="422" customWidth="1"/>
    <col min="3" max="3" width="5.28515625" style="422" customWidth="1"/>
    <col min="4" max="4" width="9.7109375" style="420" customWidth="1"/>
    <col min="5" max="5" width="14.85546875" style="420" customWidth="1"/>
    <col min="6" max="6" width="10.7109375" style="420" customWidth="1"/>
    <col min="7" max="7" width="7.5703125" style="420" hidden="1" customWidth="1"/>
    <col min="8" max="8" width="12.7109375" style="420" customWidth="1"/>
    <col min="9" max="9" width="12.7109375" style="421" customWidth="1"/>
    <col min="10" max="10" width="15.7109375" style="422" customWidth="1"/>
    <col min="11" max="11" width="11.85546875" style="420" bestFit="1" customWidth="1"/>
    <col min="12" max="12" width="2.7109375" style="420" customWidth="1"/>
    <col min="13" max="13" width="9" style="420" hidden="1" customWidth="1"/>
    <col min="14" max="14" width="9.140625" style="422" hidden="1" customWidth="1"/>
    <col min="15" max="15" width="11.28515625" style="552" hidden="1" customWidth="1"/>
    <col min="16" max="16" width="11.5703125" style="553" hidden="1" customWidth="1"/>
    <col min="17" max="16384" width="11.5703125" style="422"/>
  </cols>
  <sheetData>
    <row r="1" spans="2:16" ht="5.0999999999999996" customHeight="1">
      <c r="C1" s="419"/>
      <c r="K1" s="423"/>
    </row>
    <row r="2" spans="2:16" ht="39.950000000000003" customHeight="1">
      <c r="B2" s="419"/>
      <c r="C2" s="419"/>
      <c r="L2" s="545" t="str">
        <f>Textes!A253</f>
        <v>Stall 3</v>
      </c>
    </row>
    <row r="3" spans="2:16">
      <c r="B3" s="425" t="str">
        <f>Textes!A257</f>
        <v>Achtung: Massgebende Periode ist das Kalenderjahr.</v>
      </c>
      <c r="C3" s="419"/>
    </row>
    <row r="4" spans="2:16">
      <c r="B4" s="425" t="str">
        <f>Textes!A258</f>
        <v xml:space="preserve">               Vor der Periode angefangene und nicht innert der Periode abgeschlossene Umtriebe sind ganz zu erfassen!</v>
      </c>
      <c r="C4" s="419"/>
    </row>
    <row r="5" spans="2:16" ht="6" customHeight="1">
      <c r="B5" s="419"/>
      <c r="C5" s="419"/>
    </row>
    <row r="6" spans="2:16">
      <c r="B6" s="425" t="str">
        <f>Textes!A19</f>
        <v>Periode:</v>
      </c>
      <c r="C6" s="424"/>
      <c r="E6" s="485" t="str">
        <f>Textes!A20</f>
        <v>Datum Anfang:</v>
      </c>
      <c r="F6" s="486" t="str">
        <f>IF(Inv!I8=0,"",Inv!I8)</f>
        <v/>
      </c>
      <c r="G6" s="484"/>
      <c r="H6" s="487" t="str">
        <f>Textes!A21</f>
        <v>Datum Ende:</v>
      </c>
      <c r="I6" s="486" t="str">
        <f>IF(Inv!I9=0,"",Inv!I9)</f>
        <v/>
      </c>
      <c r="J6" s="483" t="str">
        <f>Textes!A22</f>
        <v>Dauer in Tagen:</v>
      </c>
      <c r="K6" s="488" t="str">
        <f>IF(OR(F6="",I6=""),"",I6-F6+1)</f>
        <v/>
      </c>
    </row>
    <row r="7" spans="2:16">
      <c r="B7" s="425"/>
      <c r="C7" s="424"/>
      <c r="E7" s="485"/>
      <c r="F7" s="570" t="e">
        <f>YEAR(F6)</f>
        <v>#VALUE!</v>
      </c>
      <c r="G7" s="484"/>
      <c r="H7" s="487"/>
      <c r="I7" s="486"/>
      <c r="J7" s="483"/>
      <c r="K7" s="488"/>
    </row>
    <row r="8" spans="2:16">
      <c r="B8" s="425" t="str">
        <f>+Textes!A9</f>
        <v>Betriebs-Nr:</v>
      </c>
      <c r="C8" s="424"/>
      <c r="E8" s="484" t="str">
        <f>IF(Inv!D4=0,"",Inv!D4)</f>
        <v/>
      </c>
      <c r="F8" s="484"/>
      <c r="G8" s="484"/>
      <c r="H8" s="484"/>
      <c r="I8" s="484"/>
      <c r="J8" s="484"/>
      <c r="K8" s="484"/>
    </row>
    <row r="9" spans="2:16">
      <c r="B9" s="425" t="str">
        <f>+Textes!A10</f>
        <v>Name:</v>
      </c>
      <c r="C9" s="424"/>
      <c r="E9" s="484" t="str">
        <f>IF(Inv!D5=0,"",Inv!D6 &amp; " " &amp; Inv!D5)</f>
        <v/>
      </c>
      <c r="F9" s="484"/>
      <c r="G9" s="484"/>
      <c r="H9" s="484"/>
      <c r="I9" s="484"/>
      <c r="J9" s="484"/>
      <c r="K9" s="484"/>
    </row>
    <row r="10" spans="2:16">
      <c r="B10" s="425" t="str">
        <f>+Textes!A13</f>
        <v>Adresse:</v>
      </c>
      <c r="C10" s="424"/>
      <c r="E10" s="484" t="str">
        <f>IF(Inv!D7=0,"",Inv!D7)</f>
        <v/>
      </c>
      <c r="F10" s="484"/>
      <c r="G10" s="484"/>
      <c r="H10" s="484"/>
      <c r="I10" s="484"/>
      <c r="J10" s="484"/>
      <c r="K10" s="484"/>
    </row>
    <row r="11" spans="2:16">
      <c r="B11" s="425" t="str">
        <f>+Textes!A14</f>
        <v>PLZ, Ort:</v>
      </c>
      <c r="C11" s="424"/>
      <c r="E11" s="484" t="str">
        <f>IF(Inv!D9=0,"",Inv!D9)</f>
        <v/>
      </c>
      <c r="F11" s="484"/>
      <c r="G11" s="484"/>
      <c r="H11" s="484"/>
      <c r="I11" s="484"/>
      <c r="J11" s="484"/>
      <c r="K11" s="484"/>
    </row>
    <row r="12" spans="2:16" ht="4.9000000000000004" customHeight="1">
      <c r="B12" s="425"/>
      <c r="E12" s="426"/>
      <c r="F12" s="426"/>
      <c r="G12" s="426"/>
      <c r="H12" s="426"/>
      <c r="I12" s="427"/>
      <c r="J12" s="52"/>
      <c r="K12" s="426"/>
    </row>
    <row r="13" spans="2:16">
      <c r="B13" s="425"/>
      <c r="C13" s="425"/>
      <c r="D13" s="428"/>
      <c r="E13" s="428"/>
      <c r="F13" s="428"/>
      <c r="G13" s="428"/>
      <c r="H13" s="428">
        <f>Textes!A262</f>
        <v>0</v>
      </c>
      <c r="I13" s="429"/>
      <c r="J13" s="425" t="str">
        <f>Textes!A266</f>
        <v>Anzahl ge-</v>
      </c>
      <c r="K13" s="428" t="str">
        <f>Textes!A269</f>
        <v>Massgebende</v>
      </c>
      <c r="O13" s="554"/>
      <c r="P13" s="553" t="s">
        <v>22</v>
      </c>
    </row>
    <row r="14" spans="2:16">
      <c r="B14" s="425"/>
      <c r="C14" s="425"/>
      <c r="D14" s="428"/>
      <c r="E14" s="428"/>
      <c r="F14" s="428"/>
      <c r="G14" s="428" t="s">
        <v>816</v>
      </c>
      <c r="H14" s="428">
        <f>Textes!A263</f>
        <v>0</v>
      </c>
      <c r="I14" s="428"/>
      <c r="J14" s="425" t="str">
        <f>Textes!A267</f>
        <v>schlachtete</v>
      </c>
      <c r="K14" s="428" t="str">
        <f>Textes!A270</f>
        <v>Anzahl Tiere</v>
      </c>
      <c r="O14" s="552" t="s">
        <v>23</v>
      </c>
      <c r="P14" s="553" t="s">
        <v>24</v>
      </c>
    </row>
    <row r="15" spans="2:16">
      <c r="B15" s="425" t="str">
        <f>Textes!A259</f>
        <v>Datum</v>
      </c>
      <c r="C15" s="425"/>
      <c r="D15" s="428" t="str">
        <f>Textes!A260</f>
        <v>Anzahl Tiere</v>
      </c>
      <c r="E15" s="428"/>
      <c r="F15" s="428" t="str">
        <f>Textes!A261</f>
        <v>kg LG total</v>
      </c>
      <c r="G15" s="428" t="s">
        <v>818</v>
      </c>
      <c r="H15" s="428" t="str">
        <f>Textes!A264</f>
        <v>Masttage</v>
      </c>
      <c r="I15" s="430" t="str">
        <f>Textes!A265</f>
        <v>Faktor</v>
      </c>
      <c r="J15" s="425" t="str">
        <f>Textes!A268</f>
        <v>Tiere x Faktor</v>
      </c>
      <c r="K15" s="428" t="str">
        <f>Textes!A271</f>
        <v>je Umtrieb</v>
      </c>
      <c r="N15" s="420"/>
      <c r="O15" s="555" t="s">
        <v>25</v>
      </c>
      <c r="P15" s="553" t="s">
        <v>26</v>
      </c>
    </row>
    <row r="16" spans="2:16" ht="13.5" thickBot="1">
      <c r="B16" s="431" t="str">
        <f>Textes!A272</f>
        <v>Umtrieb 1</v>
      </c>
      <c r="C16" s="559"/>
      <c r="D16" s="433"/>
      <c r="E16" s="433"/>
      <c r="F16" s="433"/>
      <c r="G16" s="433"/>
      <c r="H16" s="433"/>
      <c r="I16" s="434"/>
      <c r="J16" s="435"/>
      <c r="K16" s="433"/>
      <c r="L16" s="436"/>
    </row>
    <row r="17" spans="2:16" ht="13.5" thickBot="1">
      <c r="B17" s="489"/>
      <c r="C17" s="571">
        <f t="shared" ref="C17:C22" si="0">YEAR(B17)</f>
        <v>1900</v>
      </c>
      <c r="D17" s="490"/>
      <c r="E17" s="437" t="str">
        <f>Textes!A284</f>
        <v>Einstallung</v>
      </c>
      <c r="F17" s="551">
        <f>D17*0.04</f>
        <v>0</v>
      </c>
      <c r="G17" s="437">
        <f>IF(D17&gt;0,D17,0)</f>
        <v>0</v>
      </c>
      <c r="H17" s="437"/>
      <c r="I17" s="438"/>
      <c r="J17" s="439"/>
      <c r="K17" s="437"/>
      <c r="L17" s="440"/>
      <c r="M17" s="560">
        <f t="shared" ref="M17:M22" si="1">IF(OR(B17="",D17=""),0,H17+(F$6-B17)-1)</f>
        <v>0</v>
      </c>
      <c r="N17" s="561">
        <f>IF(D17="",0,IF(M17=0,VLOOKUP(1,Faktoren!$B$16:$D$55,2)/1000,VLOOKUP(M17,Faktoren!$B$16:$D$55,2)/1000))</f>
        <v>0</v>
      </c>
    </row>
    <row r="18" spans="2:16">
      <c r="B18" s="489"/>
      <c r="C18" s="571">
        <f t="shared" si="0"/>
        <v>1900</v>
      </c>
      <c r="D18" s="491"/>
      <c r="E18" s="437" t="str">
        <f>Textes!A285</f>
        <v>1. Schlachtung</v>
      </c>
      <c r="F18" s="491"/>
      <c r="G18" s="437">
        <f>IF(D17-D18&gt;0,D17-D18,0)</f>
        <v>0</v>
      </c>
      <c r="H18" s="437">
        <f>IF(AND(D18&gt;0,B18&gt;0),B18-B17+1,0)</f>
        <v>0</v>
      </c>
      <c r="I18" s="441">
        <f>IF(H18&gt;0,IF(H18&gt;Faktoren!$D$5,Faktoren!$E$4,Faktoren!$E$5),0)</f>
        <v>0</v>
      </c>
      <c r="J18" s="439">
        <f>IF(H18&gt;0,D18*I18,0)</f>
        <v>0</v>
      </c>
      <c r="K18" s="437"/>
      <c r="L18" s="440"/>
      <c r="M18" s="560">
        <f t="shared" si="1"/>
        <v>0</v>
      </c>
      <c r="N18" s="561">
        <f>IF(OR(D18="",M18=0),0,VLOOKUP(M18,Faktoren!$B$16:$D$55,2)/1000)</f>
        <v>0</v>
      </c>
    </row>
    <row r="19" spans="2:16">
      <c r="B19" s="489"/>
      <c r="C19" s="571">
        <f t="shared" si="0"/>
        <v>1900</v>
      </c>
      <c r="D19" s="492"/>
      <c r="E19" s="437" t="str">
        <f>Textes!A286</f>
        <v>2. Schlachtung</v>
      </c>
      <c r="F19" s="492"/>
      <c r="G19" s="437">
        <f>IF(D17-D18-D19&gt;0,D17-D18-D19,0)</f>
        <v>0</v>
      </c>
      <c r="H19" s="437">
        <f>IF(AND(D19&gt;0,B19&gt;0),B19-B17+1,0)</f>
        <v>0</v>
      </c>
      <c r="I19" s="441">
        <f>IF(H19&gt;0,IF(H19&gt;Faktoren!$D$5,Faktoren!$E$4,Faktoren!$E$5),0)</f>
        <v>0</v>
      </c>
      <c r="J19" s="439">
        <f>IF(H19&gt;0,D19*I19,0)</f>
        <v>0</v>
      </c>
      <c r="K19" s="437"/>
      <c r="L19" s="440"/>
      <c r="M19" s="560">
        <f t="shared" si="1"/>
        <v>0</v>
      </c>
      <c r="N19" s="561">
        <f>IF(OR(D19="",M19=0),0,VLOOKUP(M19,Faktoren!$B$16:$D$55,2)/1000)</f>
        <v>0</v>
      </c>
    </row>
    <row r="20" spans="2:16">
      <c r="B20" s="489"/>
      <c r="C20" s="571">
        <f t="shared" si="0"/>
        <v>1900</v>
      </c>
      <c r="D20" s="492"/>
      <c r="E20" s="437" t="str">
        <f>Textes!A287</f>
        <v>3. Schlachtung</v>
      </c>
      <c r="F20" s="492"/>
      <c r="G20" s="437">
        <f>IF(D17-D18-D19-D20&gt;0,D17-D18-D19-D20,0)</f>
        <v>0</v>
      </c>
      <c r="H20" s="437">
        <f>IF(AND(D20&gt;0,B20&gt;0),B20-B17+1,0)</f>
        <v>0</v>
      </c>
      <c r="I20" s="441">
        <f>IF(H20&gt;0,IF(H20&gt;Faktoren!$D$5,Faktoren!$E$4,Faktoren!$E$5),0)</f>
        <v>0</v>
      </c>
      <c r="J20" s="439">
        <f>IF(H20&gt;0,D20*I20,0)</f>
        <v>0</v>
      </c>
      <c r="K20" s="437"/>
      <c r="L20" s="440"/>
      <c r="M20" s="560">
        <f t="shared" si="1"/>
        <v>0</v>
      </c>
      <c r="N20" s="561">
        <f>IF(OR(D20="",M20=0),0,VLOOKUP(M20,Faktoren!$B$16:$D$55,2)/1000)</f>
        <v>0</v>
      </c>
    </row>
    <row r="21" spans="2:16">
      <c r="B21" s="489"/>
      <c r="C21" s="571">
        <f t="shared" si="0"/>
        <v>1900</v>
      </c>
      <c r="D21" s="492"/>
      <c r="E21" s="437" t="str">
        <f>Textes!A288</f>
        <v>4. Schlachtung</v>
      </c>
      <c r="F21" s="492"/>
      <c r="G21" s="437">
        <f>IF(D17-D18-D19-D20-D21&gt;0,D17-D18-D19-D20-D21,0)</f>
        <v>0</v>
      </c>
      <c r="H21" s="437">
        <f>IF(AND(D21&gt;0,B21&gt;0),B21-B17+1,0)</f>
        <v>0</v>
      </c>
      <c r="I21" s="441">
        <f>IF(H21&gt;0,IF(H21&gt;Faktoren!$D$5,Faktoren!$E$4,Faktoren!$E$5),0)</f>
        <v>0</v>
      </c>
      <c r="J21" s="439">
        <f>IF(H21&gt;0,D21*I21,0)</f>
        <v>0</v>
      </c>
      <c r="K21" s="437"/>
      <c r="L21" s="440"/>
      <c r="M21" s="560">
        <f t="shared" si="1"/>
        <v>0</v>
      </c>
      <c r="N21" s="561">
        <f>IF(OR(D21="",M21=0),0,VLOOKUP(M21,Faktoren!$B$16:$D$55,2)/1000)</f>
        <v>0</v>
      </c>
    </row>
    <row r="22" spans="2:16" ht="13.5" thickBot="1">
      <c r="B22" s="489"/>
      <c r="C22" s="571">
        <f t="shared" si="0"/>
        <v>1900</v>
      </c>
      <c r="D22" s="492"/>
      <c r="E22" s="437" t="str">
        <f>Textes!A289</f>
        <v>5. Schlachtung</v>
      </c>
      <c r="F22" s="492"/>
      <c r="G22" s="437">
        <f>IF(D17-D18-D19-D20-D21-D22&gt;0,D17-D18-D19-D20-D21-D22,0)</f>
        <v>0</v>
      </c>
      <c r="H22" s="437">
        <f>IF(AND(D22&gt;0,B22&gt;0),B22-B17+1,0)</f>
        <v>0</v>
      </c>
      <c r="I22" s="441">
        <f>IF(H22&gt;0,IF(H22&gt;Faktoren!$D$5,Faktoren!$E$4,Faktoren!$E$5),0)</f>
        <v>0</v>
      </c>
      <c r="J22" s="439">
        <f>IF(H22&gt;0,D22*I22,0)</f>
        <v>0</v>
      </c>
      <c r="K22" s="437"/>
      <c r="L22" s="440"/>
      <c r="M22" s="560">
        <f t="shared" si="1"/>
        <v>0</v>
      </c>
      <c r="N22" s="561">
        <f>IF(OR(D22="",M22=0),0,VLOOKUP(M22,Faktoren!$B$16:$D$55,2)/1000)</f>
        <v>0</v>
      </c>
    </row>
    <row r="23" spans="2:16" ht="13.5" thickBot="1">
      <c r="B23" s="482" t="str">
        <f>E23</f>
        <v>Abgänge</v>
      </c>
      <c r="C23" s="442"/>
      <c r="D23" s="437">
        <f>+D17-SUM(D18:D22)</f>
        <v>0</v>
      </c>
      <c r="E23" s="437" t="str">
        <f>Textes!A290</f>
        <v>Abgänge</v>
      </c>
      <c r="F23" s="492">
        <f>D23*0.6</f>
        <v>0</v>
      </c>
      <c r="G23" s="437"/>
      <c r="H23" s="437"/>
      <c r="I23" s="438">
        <f>IF(D23&gt;0,Faktoren!$E$7,0)</f>
        <v>0</v>
      </c>
      <c r="J23" s="439">
        <f>IF(D23&gt;0,D23*I23,0)</f>
        <v>0</v>
      </c>
      <c r="K23" s="443">
        <f>SUM(J18:J23)</f>
        <v>0</v>
      </c>
      <c r="L23" s="440"/>
      <c r="M23" s="560">
        <f>IF(B17=F6,G17,IF(MIN(B17:B22)&gt;$F$6,0,VLOOKUP($F$6,B17:G22,6)))</f>
        <v>0</v>
      </c>
      <c r="N23" s="561"/>
      <c r="O23" s="556">
        <f>MAX(B17:B22)</f>
        <v>0</v>
      </c>
      <c r="P23" s="553">
        <f>IF(OR($F$6="",I$6="",O23&lt;F$6),99,IF(AND(B17&gt;=F$6,O23&lt;I$6),0,1))</f>
        <v>99</v>
      </c>
    </row>
    <row r="24" spans="2:16">
      <c r="B24" s="444"/>
      <c r="C24" s="439"/>
      <c r="D24" s="439">
        <f>IF(D17&gt;0,ROUND(+D23/D17*100,1),0)</f>
        <v>0</v>
      </c>
      <c r="E24" s="437" t="str">
        <f>Textes!A291</f>
        <v>Abgänge in %</v>
      </c>
      <c r="F24" s="437"/>
      <c r="G24" s="445" t="s">
        <v>830</v>
      </c>
      <c r="H24" s="437">
        <f>MAX(H17:H22)</f>
        <v>0</v>
      </c>
      <c r="I24" s="438" t="str">
        <f>Textes!A293</f>
        <v>Tage Stall belegt</v>
      </c>
      <c r="J24" s="439"/>
      <c r="K24" s="437"/>
      <c r="L24" s="440"/>
      <c r="N24" s="553">
        <f>IF(P23=1,O23-$F$6+1,H24)</f>
        <v>0</v>
      </c>
    </row>
    <row r="25" spans="2:16">
      <c r="B25" s="446"/>
      <c r="C25" s="447"/>
      <c r="D25" s="558">
        <f>IF(P23=99,0,IF(P23=0,H24/MAX(H18:H22),IF(P23=1,(O23-$F$6)/H24,0)))</f>
        <v>0</v>
      </c>
      <c r="E25" s="448" t="str">
        <f>Textes!A292</f>
        <v>Umtriebe</v>
      </c>
      <c r="F25" s="448"/>
      <c r="G25" s="447"/>
      <c r="H25" s="448">
        <f>IF(B27&lt;&gt;0,(B27-O23),0)</f>
        <v>0</v>
      </c>
      <c r="I25" s="438" t="str">
        <f>Textes!A294</f>
        <v>Tage Stall leer</v>
      </c>
      <c r="J25" s="447"/>
      <c r="K25" s="448"/>
      <c r="L25" s="450"/>
    </row>
    <row r="26" spans="2:16" ht="13.5" thickBot="1">
      <c r="B26" s="431" t="str">
        <f>Textes!A273</f>
        <v>Umtrieb 2</v>
      </c>
      <c r="C26" s="432"/>
      <c r="D26" s="433"/>
      <c r="E26" s="433"/>
      <c r="F26" s="433"/>
      <c r="G26" s="433"/>
      <c r="H26" s="433"/>
      <c r="I26" s="434"/>
      <c r="J26" s="435"/>
      <c r="K26" s="433"/>
      <c r="L26" s="436"/>
    </row>
    <row r="27" spans="2:16" ht="13.5" thickBot="1">
      <c r="B27" s="489"/>
      <c r="C27" s="569">
        <f t="shared" ref="C27:C32" si="2">YEAR(B27)</f>
        <v>1900</v>
      </c>
      <c r="D27" s="490"/>
      <c r="E27" s="437" t="str">
        <f>Textes!A284</f>
        <v>Einstallung</v>
      </c>
      <c r="F27" s="551">
        <f>D27*0.04</f>
        <v>0</v>
      </c>
      <c r="G27" s="437">
        <f>IF(D27&gt;0,D27,0)</f>
        <v>0</v>
      </c>
      <c r="H27" s="437"/>
      <c r="I27" s="438"/>
      <c r="J27" s="439"/>
      <c r="K27" s="437"/>
      <c r="L27" s="440"/>
      <c r="M27" s="560">
        <f>IF(OR(B27="",D27=""),0,IF((I$6-B27)=0,1,H27+(I$6-B27)))</f>
        <v>0</v>
      </c>
      <c r="N27" s="561">
        <f>IF(D27="",0,VLOOKUP(M27,Faktoren!$B$16:$D$55,2)/1000)</f>
        <v>0</v>
      </c>
    </row>
    <row r="28" spans="2:16">
      <c r="B28" s="489"/>
      <c r="C28" s="569">
        <f t="shared" si="2"/>
        <v>1900</v>
      </c>
      <c r="D28" s="491"/>
      <c r="E28" s="437" t="str">
        <f>Textes!A285</f>
        <v>1. Schlachtung</v>
      </c>
      <c r="F28" s="491"/>
      <c r="G28" s="437">
        <f>IF(D27-D28&gt;0,D27-D28,0)</f>
        <v>0</v>
      </c>
      <c r="H28" s="437">
        <f>IF(AND(D28&gt;0,B28&gt;0),B28-B27+1,0)</f>
        <v>0</v>
      </c>
      <c r="I28" s="441">
        <f>IF(H28&gt;0,IF(H28&gt;Faktoren!$D$5,Faktoren!$E$4,Faktoren!$E$5),0)</f>
        <v>0</v>
      </c>
      <c r="J28" s="439">
        <f>IF(H28&gt;0,D28*I28,0)</f>
        <v>0</v>
      </c>
      <c r="K28" s="437"/>
      <c r="L28" s="440"/>
      <c r="M28" s="560">
        <f>IF(OR(B28="",D28=""),0,H28+(I$6-B28))</f>
        <v>0</v>
      </c>
      <c r="N28" s="561">
        <f>IF(D28="",0,VLOOKUP(M28,Faktoren!$B$16:$D$55,2)/1000)</f>
        <v>0</v>
      </c>
    </row>
    <row r="29" spans="2:16">
      <c r="B29" s="489"/>
      <c r="C29" s="569">
        <f t="shared" si="2"/>
        <v>1900</v>
      </c>
      <c r="D29" s="492"/>
      <c r="E29" s="437" t="str">
        <f>Textes!A286</f>
        <v>2. Schlachtung</v>
      </c>
      <c r="F29" s="492"/>
      <c r="G29" s="437">
        <f>IF(D27-D28-D29&gt;0,D27-D28-D29,0)</f>
        <v>0</v>
      </c>
      <c r="H29" s="437">
        <f>IF(AND(D29&gt;0,B29&gt;0),B29-B27+1,0)</f>
        <v>0</v>
      </c>
      <c r="I29" s="441">
        <f>IF(H29&gt;0,IF(H29&gt;Faktoren!$D$5,Faktoren!$E$4,Faktoren!$E$5),0)</f>
        <v>0</v>
      </c>
      <c r="J29" s="439">
        <f>IF(H29&gt;0,D29*I29,0)</f>
        <v>0</v>
      </c>
      <c r="K29" s="437"/>
      <c r="L29" s="440"/>
      <c r="M29" s="560">
        <f>IF(OR(B29="",D29=""),0,H29+(I$6-B29))</f>
        <v>0</v>
      </c>
      <c r="N29" s="561">
        <f>IF(D29="",0,VLOOKUP(M29,Faktoren!$B$16:$D$55,2)/1000)</f>
        <v>0</v>
      </c>
    </row>
    <row r="30" spans="2:16">
      <c r="B30" s="489"/>
      <c r="C30" s="569">
        <f t="shared" si="2"/>
        <v>1900</v>
      </c>
      <c r="D30" s="492"/>
      <c r="E30" s="437" t="str">
        <f>Textes!A287</f>
        <v>3. Schlachtung</v>
      </c>
      <c r="F30" s="492"/>
      <c r="G30" s="437">
        <f>IF(D27-D28-D29-D30&gt;0,D27-D28-D29-D30,0)</f>
        <v>0</v>
      </c>
      <c r="H30" s="437">
        <f>IF(AND(D30&gt;0,B30&gt;0),B30-B27+1,0)</f>
        <v>0</v>
      </c>
      <c r="I30" s="441">
        <f>IF(H30&gt;0,IF(H30&gt;Faktoren!$D$5,Faktoren!$E$4,Faktoren!$E$5),0)</f>
        <v>0</v>
      </c>
      <c r="J30" s="439">
        <f>IF(H30&gt;0,D30*I30,0)</f>
        <v>0</v>
      </c>
      <c r="K30" s="437"/>
      <c r="L30" s="440"/>
      <c r="M30" s="560">
        <f>IF(OR(B30="",D30=""),0,H30+(I$6-B30))</f>
        <v>0</v>
      </c>
      <c r="N30" s="561">
        <f>IF(D30="",0,VLOOKUP(M30,Faktoren!$B$16:$D$55,2)/1000)</f>
        <v>0</v>
      </c>
    </row>
    <row r="31" spans="2:16">
      <c r="B31" s="489"/>
      <c r="C31" s="569">
        <f t="shared" si="2"/>
        <v>1900</v>
      </c>
      <c r="D31" s="492"/>
      <c r="E31" s="437" t="str">
        <f>Textes!A288</f>
        <v>4. Schlachtung</v>
      </c>
      <c r="F31" s="492"/>
      <c r="G31" s="437">
        <f>IF(D27-D28-D29-D30-D31&gt;0,D27-D28-D29-D30-D31,0)</f>
        <v>0</v>
      </c>
      <c r="H31" s="437">
        <f>IF(AND(D31&gt;0,B31&gt;0),B31-B27+1,0)</f>
        <v>0</v>
      </c>
      <c r="I31" s="441">
        <f>IF(H31&gt;0,IF(H31&gt;Faktoren!$D$5,Faktoren!$E$4,Faktoren!$E$5),0)</f>
        <v>0</v>
      </c>
      <c r="J31" s="439">
        <f>IF(H31&gt;0,D31*I31,0)</f>
        <v>0</v>
      </c>
      <c r="K31" s="437"/>
      <c r="L31" s="440"/>
      <c r="M31" s="560">
        <f>IF(OR(B31="",D31=""),0,H31+(I$6-B31))</f>
        <v>0</v>
      </c>
      <c r="N31" s="561">
        <f>IF(D31="",0,VLOOKUP(M31,Faktoren!$B$16:$D$55,2)/1000)</f>
        <v>0</v>
      </c>
    </row>
    <row r="32" spans="2:16" ht="13.5" thickBot="1">
      <c r="B32" s="489"/>
      <c r="C32" s="569">
        <f t="shared" si="2"/>
        <v>1900</v>
      </c>
      <c r="D32" s="492"/>
      <c r="E32" s="437" t="str">
        <f>Textes!A289</f>
        <v>5. Schlachtung</v>
      </c>
      <c r="F32" s="492"/>
      <c r="G32" s="437">
        <f>IF(D27-D28-D29-D30-D31-D32&gt;0,D27-D28-D29-D30-D31-D32,0)</f>
        <v>0</v>
      </c>
      <c r="H32" s="437">
        <f>IF(AND(D32&gt;0,B32&gt;0),B32-B27+1,0)</f>
        <v>0</v>
      </c>
      <c r="I32" s="441">
        <f>IF(H32&gt;0,IF(H32&gt;Faktoren!$D$5,Faktoren!$E$4,Faktoren!$E$5),0)</f>
        <v>0</v>
      </c>
      <c r="J32" s="439">
        <f>IF(H32&gt;0,D32*I32,0)</f>
        <v>0</v>
      </c>
      <c r="K32" s="437"/>
      <c r="L32" s="440"/>
      <c r="M32" s="560">
        <f>IF(OR(B32="",D32=""),0,H32+(I$6-B32))</f>
        <v>0</v>
      </c>
      <c r="N32" s="561">
        <f>IF(D32="",0,VLOOKUP(M32,Faktoren!$B$16:$D$55,2)/1000)</f>
        <v>0</v>
      </c>
    </row>
    <row r="33" spans="2:16" ht="13.5" thickBot="1">
      <c r="B33" s="482" t="str">
        <f>E33</f>
        <v>Abgänge</v>
      </c>
      <c r="C33" s="442"/>
      <c r="D33" s="437">
        <f>+D27-SUM(D28:D32)</f>
        <v>0</v>
      </c>
      <c r="E33" s="437" t="str">
        <f>Textes!A290</f>
        <v>Abgänge</v>
      </c>
      <c r="F33" s="492">
        <f>D33*0.6</f>
        <v>0</v>
      </c>
      <c r="G33" s="437"/>
      <c r="H33" s="437"/>
      <c r="I33" s="438">
        <f>IF(D33&gt;0,Faktoren!$E$7,0)</f>
        <v>0</v>
      </c>
      <c r="J33" s="439">
        <f>IF(D33&gt;0,D33*I33,0)</f>
        <v>0</v>
      </c>
      <c r="K33" s="443">
        <f>SUM(J28:J33)</f>
        <v>0</v>
      </c>
      <c r="L33" s="440"/>
      <c r="M33" s="560">
        <f>IF(MAX(B27:B32)&lt;$I$6,0,VLOOKUP($I$6,B27:G32,6))</f>
        <v>0</v>
      </c>
      <c r="O33" s="557">
        <f>MAX(B27:B32)</f>
        <v>0</v>
      </c>
      <c r="P33" s="553">
        <f>IF(OR($F$6="",I$6="",O33&lt;F$6),99,IF(AND(O33&gt;F$6,O33&lt;I$6),0,1))</f>
        <v>99</v>
      </c>
    </row>
    <row r="34" spans="2:16">
      <c r="B34" s="444"/>
      <c r="C34" s="439"/>
      <c r="D34" s="439">
        <f>IF(D27&gt;0,ROUND(+D33/D27*100,1),0)</f>
        <v>0</v>
      </c>
      <c r="E34" s="437" t="str">
        <f>Textes!A291</f>
        <v>Abgänge in %</v>
      </c>
      <c r="F34" s="437"/>
      <c r="G34" s="445" t="s">
        <v>830</v>
      </c>
      <c r="H34" s="437">
        <f>MAX(H27:H32)</f>
        <v>0</v>
      </c>
      <c r="I34" s="438" t="str">
        <f>Textes!A293</f>
        <v>Tage Stall belegt</v>
      </c>
      <c r="J34" s="439"/>
      <c r="K34" s="437"/>
      <c r="L34" s="440"/>
      <c r="N34" s="553">
        <f>IF(P33=1,$I$6-B27+1,H34)</f>
        <v>0</v>
      </c>
    </row>
    <row r="35" spans="2:16">
      <c r="B35" s="451"/>
      <c r="C35" s="452"/>
      <c r="D35" s="558">
        <f>IF(P33=99,0,IF(P33=0,H34/MAX(H28:H32),IF(P33=1,(H34-(O33-$I$6))/H34,0)))</f>
        <v>0</v>
      </c>
      <c r="E35" s="448" t="str">
        <f>Textes!A292</f>
        <v>Umtriebe</v>
      </c>
      <c r="F35" s="448"/>
      <c r="G35" s="447"/>
      <c r="H35" s="448">
        <f>IF(B37&lt;&gt;0,(B37-O33),0)</f>
        <v>0</v>
      </c>
      <c r="I35" s="438" t="str">
        <f>Textes!A294</f>
        <v>Tage Stall leer</v>
      </c>
      <c r="J35" s="447"/>
      <c r="K35" s="448"/>
      <c r="L35" s="450"/>
    </row>
    <row r="36" spans="2:16" ht="13.5" thickBot="1">
      <c r="B36" s="431" t="str">
        <f>Textes!A274</f>
        <v>Umtrieb 3</v>
      </c>
      <c r="C36" s="432"/>
      <c r="D36" s="433"/>
      <c r="E36" s="433"/>
      <c r="F36" s="433"/>
      <c r="G36" s="433"/>
      <c r="H36" s="433"/>
      <c r="I36" s="434"/>
      <c r="J36" s="435"/>
      <c r="K36" s="433"/>
      <c r="L36" s="436"/>
    </row>
    <row r="37" spans="2:16" ht="13.5" thickBot="1">
      <c r="B37" s="489"/>
      <c r="C37" s="569">
        <f t="shared" ref="C37:C42" si="3">YEAR(B37)</f>
        <v>1900</v>
      </c>
      <c r="D37" s="490"/>
      <c r="E37" s="437" t="str">
        <f>Textes!A284</f>
        <v>Einstallung</v>
      </c>
      <c r="F37" s="551">
        <f>D37*0.04</f>
        <v>0</v>
      </c>
      <c r="G37" s="437">
        <f>IF(D37&gt;0,D37,0)</f>
        <v>0</v>
      </c>
      <c r="H37" s="437"/>
      <c r="I37" s="438"/>
      <c r="J37" s="439"/>
      <c r="K37" s="437"/>
      <c r="L37" s="440"/>
      <c r="M37" s="560">
        <f>IF(OR(B37="",D37=""),0,IF((I$6-B37)=0,1,H37+(I$6-B37)))</f>
        <v>0</v>
      </c>
      <c r="N37" s="561">
        <f>IF(D37="",0,VLOOKUP(M37,Faktoren!$B$16:$D$55,2)/1000)</f>
        <v>0</v>
      </c>
    </row>
    <row r="38" spans="2:16">
      <c r="B38" s="489"/>
      <c r="C38" s="569">
        <f t="shared" si="3"/>
        <v>1900</v>
      </c>
      <c r="D38" s="491"/>
      <c r="E38" s="437" t="str">
        <f>Textes!A285</f>
        <v>1. Schlachtung</v>
      </c>
      <c r="F38" s="491"/>
      <c r="G38" s="437">
        <f>IF(D37-D38&gt;0,D37-D38,0)</f>
        <v>0</v>
      </c>
      <c r="H38" s="437">
        <f>IF(AND(D38&gt;0,B38&gt;0),B38-B37+1,0)</f>
        <v>0</v>
      </c>
      <c r="I38" s="441">
        <f>IF(H38&gt;0,IF(H38&gt;Faktoren!$D$5,Faktoren!$E$4,Faktoren!$E$5),0)</f>
        <v>0</v>
      </c>
      <c r="J38" s="439">
        <f>IF(H38&gt;0,D38*I38,0)</f>
        <v>0</v>
      </c>
      <c r="K38" s="437"/>
      <c r="L38" s="440"/>
      <c r="M38" s="560">
        <f>IF(OR(B38="",D38=""),0,H38+(I$6-B38))</f>
        <v>0</v>
      </c>
      <c r="N38" s="561">
        <f>IF(D38="",0,VLOOKUP(M38,Faktoren!$B$16:$D$55,2)/1000)</f>
        <v>0</v>
      </c>
    </row>
    <row r="39" spans="2:16">
      <c r="B39" s="489"/>
      <c r="C39" s="569">
        <f t="shared" si="3"/>
        <v>1900</v>
      </c>
      <c r="D39" s="492"/>
      <c r="E39" s="437" t="str">
        <f>Textes!A286</f>
        <v>2. Schlachtung</v>
      </c>
      <c r="F39" s="492"/>
      <c r="G39" s="437">
        <f>IF(D37-D38-D39&gt;0,D37-D38-D39,0)</f>
        <v>0</v>
      </c>
      <c r="H39" s="437">
        <f>IF(AND(D39&gt;0,B39&gt;0),B39-B37+1,0)</f>
        <v>0</v>
      </c>
      <c r="I39" s="441">
        <f>IF(H39&gt;0,IF(H39&gt;Faktoren!$D$5,Faktoren!$E$4,Faktoren!$E$5),0)</f>
        <v>0</v>
      </c>
      <c r="J39" s="439">
        <f>IF(H39&gt;0,D39*I39,0)</f>
        <v>0</v>
      </c>
      <c r="K39" s="437"/>
      <c r="L39" s="440"/>
      <c r="M39" s="560">
        <f>IF(OR(B39="",D39=""),0,H39+(I$6-B39))</f>
        <v>0</v>
      </c>
      <c r="N39" s="561">
        <f>IF(D39="",0,VLOOKUP(M39,Faktoren!$B$16:$D$55,2)/1000)</f>
        <v>0</v>
      </c>
    </row>
    <row r="40" spans="2:16">
      <c r="B40" s="489"/>
      <c r="C40" s="569">
        <f t="shared" si="3"/>
        <v>1900</v>
      </c>
      <c r="D40" s="492"/>
      <c r="E40" s="437" t="str">
        <f>Textes!A287</f>
        <v>3. Schlachtung</v>
      </c>
      <c r="F40" s="492"/>
      <c r="G40" s="437">
        <f>IF(D37-D38-D39-D40&gt;0,D37-D38-D39-D40,0)</f>
        <v>0</v>
      </c>
      <c r="H40" s="437">
        <f>IF(AND(D40&gt;0,B40&gt;0),B40-B37+1,0)</f>
        <v>0</v>
      </c>
      <c r="I40" s="441">
        <f>IF(H40&gt;0,IF(H40&gt;Faktoren!$D$5,Faktoren!$E$4,Faktoren!$E$5),0)</f>
        <v>0</v>
      </c>
      <c r="J40" s="439">
        <f>IF(H40&gt;0,D40*I40,0)</f>
        <v>0</v>
      </c>
      <c r="K40" s="437"/>
      <c r="L40" s="440"/>
      <c r="M40" s="560">
        <f>IF(OR(B40="",D40=""),0,H40+(I$6-B40))</f>
        <v>0</v>
      </c>
      <c r="N40" s="561">
        <f>IF(D40="",0,VLOOKUP(M40,Faktoren!$B$16:$D$55,2)/1000)</f>
        <v>0</v>
      </c>
    </row>
    <row r="41" spans="2:16">
      <c r="B41" s="489"/>
      <c r="C41" s="569">
        <f t="shared" si="3"/>
        <v>1900</v>
      </c>
      <c r="D41" s="492"/>
      <c r="E41" s="437" t="str">
        <f>Textes!A288</f>
        <v>4. Schlachtung</v>
      </c>
      <c r="F41" s="492"/>
      <c r="G41" s="437">
        <f>IF(D37-D38-D39-D40-D41&gt;0,D37-D38-D39-D40-D41,0)</f>
        <v>0</v>
      </c>
      <c r="H41" s="437">
        <f>IF(AND(D41&gt;0,B41&gt;0),B41-B37+1,0)</f>
        <v>0</v>
      </c>
      <c r="I41" s="441">
        <f>IF(H41&gt;0,IF(H41&gt;Faktoren!$D$5,Faktoren!$E$4,Faktoren!$E$5),0)</f>
        <v>0</v>
      </c>
      <c r="J41" s="439">
        <f>IF(H41&gt;0,D41*I41,0)</f>
        <v>0</v>
      </c>
      <c r="K41" s="437"/>
      <c r="L41" s="440"/>
      <c r="M41" s="560">
        <f>IF(OR(B41="",D41=""),0,H41+(I$6-B41))</f>
        <v>0</v>
      </c>
      <c r="N41" s="561">
        <f>IF(D41="",0,VLOOKUP(M41,Faktoren!$B$16:$D$55,2)/1000)</f>
        <v>0</v>
      </c>
    </row>
    <row r="42" spans="2:16" ht="13.5" thickBot="1">
      <c r="B42" s="489"/>
      <c r="C42" s="569">
        <f t="shared" si="3"/>
        <v>1900</v>
      </c>
      <c r="D42" s="492"/>
      <c r="E42" s="437" t="str">
        <f>Textes!A289</f>
        <v>5. Schlachtung</v>
      </c>
      <c r="F42" s="492"/>
      <c r="G42" s="437">
        <f>IF(D37-D38-D39-D40-D41-D42&gt;0,D37-D38-D39-D40-D41-D42,0)</f>
        <v>0</v>
      </c>
      <c r="H42" s="437">
        <f>IF(AND(D42&gt;0,B42&gt;0),B42-B37+1,0)</f>
        <v>0</v>
      </c>
      <c r="I42" s="441">
        <f>IF(H42&gt;0,IF(H42&gt;Faktoren!$D$5,Faktoren!$E$4,Faktoren!$E$5),0)</f>
        <v>0</v>
      </c>
      <c r="J42" s="439">
        <f>IF(H42&gt;0,D42*I42,0)</f>
        <v>0</v>
      </c>
      <c r="K42" s="437"/>
      <c r="L42" s="440"/>
      <c r="M42" s="560">
        <f>IF(OR(B42="",D42=""),0,H42+(I$6-B42))</f>
        <v>0</v>
      </c>
      <c r="N42" s="561">
        <f>IF(D42="",0,VLOOKUP(M42,Faktoren!$B$16:$D$55,2)/1000)</f>
        <v>0</v>
      </c>
    </row>
    <row r="43" spans="2:16" ht="13.5" thickBot="1">
      <c r="B43" s="482" t="str">
        <f>E43</f>
        <v>Abgänge</v>
      </c>
      <c r="C43" s="442"/>
      <c r="D43" s="437">
        <f>+D37-SUM(D38:D42)</f>
        <v>0</v>
      </c>
      <c r="E43" s="437" t="str">
        <f>Textes!A290</f>
        <v>Abgänge</v>
      </c>
      <c r="F43" s="492">
        <f>D43*0.6</f>
        <v>0</v>
      </c>
      <c r="G43" s="437"/>
      <c r="H43" s="437"/>
      <c r="I43" s="438">
        <f>IF(D43&gt;0,Faktoren!$E$7,0)</f>
        <v>0</v>
      </c>
      <c r="J43" s="439">
        <f>IF(D43&gt;0,D43*I43,0)</f>
        <v>0</v>
      </c>
      <c r="K43" s="443">
        <f>SUM(J38:J43)</f>
        <v>0</v>
      </c>
      <c r="L43" s="440"/>
      <c r="M43" s="560">
        <f>IF(MAX(B37:B42)&lt;$I$6,0,VLOOKUP($I$6,B37:G42,6))</f>
        <v>0</v>
      </c>
      <c r="O43" s="557">
        <f>MAX(B37:B42)</f>
        <v>0</v>
      </c>
      <c r="P43" s="553">
        <f>IF(OR($F$6="",I$6="",O43&lt;F$6),99,IF(AND(O43&gt;F$6,O43&lt;I$6),0,1))</f>
        <v>99</v>
      </c>
    </row>
    <row r="44" spans="2:16">
      <c r="B44" s="444"/>
      <c r="C44" s="439"/>
      <c r="D44" s="439">
        <f>IF(D37&gt;0,ROUND(+D43/D37*100,1),0)</f>
        <v>0</v>
      </c>
      <c r="E44" s="437" t="str">
        <f>Textes!A291</f>
        <v>Abgänge in %</v>
      </c>
      <c r="F44" s="437"/>
      <c r="G44" s="445" t="s">
        <v>830</v>
      </c>
      <c r="H44" s="437">
        <f>MAX(H37:H42)</f>
        <v>0</v>
      </c>
      <c r="I44" s="438" t="str">
        <f>Textes!A293</f>
        <v>Tage Stall belegt</v>
      </c>
      <c r="J44" s="439"/>
      <c r="K44" s="437"/>
      <c r="L44" s="440"/>
      <c r="N44" s="553">
        <f>IF(P43=1,$I$6-B37+1,H44)</f>
        <v>0</v>
      </c>
    </row>
    <row r="45" spans="2:16">
      <c r="B45" s="451"/>
      <c r="C45" s="452"/>
      <c r="D45" s="558">
        <f>IF(P43=99,0,IF(P43=0,H44/MAX(H38:H42),IF(P43=1,(H44-(O43-$I$6))/H44,0)))</f>
        <v>0</v>
      </c>
      <c r="E45" s="448" t="str">
        <f>Textes!A292</f>
        <v>Umtriebe</v>
      </c>
      <c r="F45" s="448"/>
      <c r="G45" s="447"/>
      <c r="H45" s="448">
        <f>IF(B47&lt;&gt;0,(B47-O43),0)</f>
        <v>0</v>
      </c>
      <c r="I45" s="438" t="str">
        <f>Textes!A294</f>
        <v>Tage Stall leer</v>
      </c>
      <c r="J45" s="447"/>
      <c r="K45" s="448"/>
      <c r="L45" s="450"/>
    </row>
    <row r="46" spans="2:16" ht="13.5" thickBot="1">
      <c r="B46" s="431" t="str">
        <f>Textes!A275</f>
        <v>Umtrieb 4</v>
      </c>
      <c r="C46" s="432"/>
      <c r="D46" s="433"/>
      <c r="E46" s="433"/>
      <c r="F46" s="433"/>
      <c r="G46" s="433"/>
      <c r="H46" s="433"/>
      <c r="I46" s="434"/>
      <c r="J46" s="435"/>
      <c r="K46" s="433"/>
      <c r="L46" s="436"/>
    </row>
    <row r="47" spans="2:16" ht="13.5" thickBot="1">
      <c r="B47" s="489"/>
      <c r="C47" s="569">
        <f t="shared" ref="C47:C52" si="4">YEAR(B47)</f>
        <v>1900</v>
      </c>
      <c r="D47" s="490"/>
      <c r="E47" s="437" t="str">
        <f>Textes!A284</f>
        <v>Einstallung</v>
      </c>
      <c r="F47" s="551">
        <f>D47*0.04</f>
        <v>0</v>
      </c>
      <c r="G47" s="437">
        <f>IF(D47&gt;0,D47,0)</f>
        <v>0</v>
      </c>
      <c r="H47" s="437"/>
      <c r="I47" s="438"/>
      <c r="J47" s="439"/>
      <c r="K47" s="437"/>
      <c r="L47" s="440"/>
      <c r="M47" s="560">
        <f>IF(OR(B47="",D47=""),0,IF((I$6-B47)=0,1,H47+(I$6-B47)))</f>
        <v>0</v>
      </c>
      <c r="N47" s="561">
        <f>IF(D47="",0,VLOOKUP(M47,Faktoren!$B$16:$D$55,2)/1000)</f>
        <v>0</v>
      </c>
    </row>
    <row r="48" spans="2:16">
      <c r="B48" s="489"/>
      <c r="C48" s="569">
        <f t="shared" si="4"/>
        <v>1900</v>
      </c>
      <c r="D48" s="491"/>
      <c r="E48" s="437" t="str">
        <f>Textes!A285</f>
        <v>1. Schlachtung</v>
      </c>
      <c r="F48" s="491"/>
      <c r="G48" s="437">
        <f>IF(D47-D48&gt;0,D47-D48,0)</f>
        <v>0</v>
      </c>
      <c r="H48" s="437">
        <f>IF(AND(D48&gt;0,B48&gt;0),B48-B47+1,0)</f>
        <v>0</v>
      </c>
      <c r="I48" s="441">
        <f>IF(H48&gt;0,IF(H48&gt;Faktoren!$D$5,Faktoren!$E$4,Faktoren!$E$5),0)</f>
        <v>0</v>
      </c>
      <c r="J48" s="439">
        <f>IF(H48&gt;0,D48*I48,0)</f>
        <v>0</v>
      </c>
      <c r="K48" s="437"/>
      <c r="L48" s="440"/>
      <c r="M48" s="560">
        <f>IF(OR(B48="",D48=""),0,H48+(I$6-B48))</f>
        <v>0</v>
      </c>
      <c r="N48" s="561">
        <f>IF(D48="",0,VLOOKUP(M48,Faktoren!$B$16:$D$55,2)/1000)</f>
        <v>0</v>
      </c>
    </row>
    <row r="49" spans="2:16">
      <c r="B49" s="489"/>
      <c r="C49" s="569">
        <f t="shared" si="4"/>
        <v>1900</v>
      </c>
      <c r="D49" s="492"/>
      <c r="E49" s="437" t="str">
        <f>Textes!A286</f>
        <v>2. Schlachtung</v>
      </c>
      <c r="F49" s="492"/>
      <c r="G49" s="437">
        <f>IF(D47-D48-D49&gt;0,D47-D48-D49,0)</f>
        <v>0</v>
      </c>
      <c r="H49" s="437">
        <f>IF(AND(D49&gt;0,B49&gt;0),B49-B47+1,0)</f>
        <v>0</v>
      </c>
      <c r="I49" s="441">
        <f>IF(H49&gt;0,IF(H49&gt;Faktoren!$D$5,Faktoren!$E$4,Faktoren!$E$5),0)</f>
        <v>0</v>
      </c>
      <c r="J49" s="439">
        <f>IF(H49&gt;0,D49*I49,0)</f>
        <v>0</v>
      </c>
      <c r="K49" s="437"/>
      <c r="L49" s="440"/>
      <c r="M49" s="560">
        <f>IF(OR(B49="",D49=""),0,H49+(I$6-B49))</f>
        <v>0</v>
      </c>
      <c r="N49" s="561">
        <f>IF(D49="",0,VLOOKUP(M49,Faktoren!$B$16:$D$55,2)/1000)</f>
        <v>0</v>
      </c>
    </row>
    <row r="50" spans="2:16">
      <c r="B50" s="489"/>
      <c r="C50" s="569">
        <f t="shared" si="4"/>
        <v>1900</v>
      </c>
      <c r="D50" s="492"/>
      <c r="E50" s="437" t="str">
        <f>Textes!A287</f>
        <v>3. Schlachtung</v>
      </c>
      <c r="F50" s="492"/>
      <c r="G50" s="437">
        <f>IF(D47-D48-D49-D50&gt;0,D47-D48-D49-D50,0)</f>
        <v>0</v>
      </c>
      <c r="H50" s="437">
        <f>IF(AND(D50&gt;0,B50&gt;0),B50-B47+1,0)</f>
        <v>0</v>
      </c>
      <c r="I50" s="441">
        <f>IF(H50&gt;0,IF(H50&gt;Faktoren!$D$5,Faktoren!$E$4,Faktoren!$E$5),0)</f>
        <v>0</v>
      </c>
      <c r="J50" s="439">
        <f>IF(H50&gt;0,D50*I50,0)</f>
        <v>0</v>
      </c>
      <c r="K50" s="437"/>
      <c r="L50" s="440"/>
      <c r="M50" s="560">
        <f>IF(OR(B50="",D50=""),0,H50+(I$6-B50))</f>
        <v>0</v>
      </c>
      <c r="N50" s="561">
        <f>IF(D50="",0,VLOOKUP(M50,Faktoren!$B$16:$D$55,2)/1000)</f>
        <v>0</v>
      </c>
    </row>
    <row r="51" spans="2:16">
      <c r="B51" s="489"/>
      <c r="C51" s="569">
        <f t="shared" si="4"/>
        <v>1900</v>
      </c>
      <c r="D51" s="492"/>
      <c r="E51" s="437" t="str">
        <f>Textes!A288</f>
        <v>4. Schlachtung</v>
      </c>
      <c r="F51" s="492"/>
      <c r="G51" s="437">
        <f>IF(D47-D48-D49-D50-D51&gt;0,D47-D48-D49-D50-D51,0)</f>
        <v>0</v>
      </c>
      <c r="H51" s="437">
        <f>IF(AND(D51&gt;0,B51&gt;0),B51-B47+1,0)</f>
        <v>0</v>
      </c>
      <c r="I51" s="441">
        <f>IF(H51&gt;0,IF(H51&gt;Faktoren!$D$5,Faktoren!$E$4,Faktoren!$E$5),0)</f>
        <v>0</v>
      </c>
      <c r="J51" s="439">
        <f>IF(H51&gt;0,D51*I51,0)</f>
        <v>0</v>
      </c>
      <c r="K51" s="437"/>
      <c r="L51" s="440"/>
      <c r="M51" s="560">
        <f>IF(OR(B51="",D51=""),0,H51+(I$6-B51))</f>
        <v>0</v>
      </c>
      <c r="N51" s="561">
        <f>IF(D51="",0,VLOOKUP(M51,Faktoren!$B$16:$D$55,2)/1000)</f>
        <v>0</v>
      </c>
    </row>
    <row r="52" spans="2:16" ht="13.5" thickBot="1">
      <c r="B52" s="489"/>
      <c r="C52" s="569">
        <f t="shared" si="4"/>
        <v>1900</v>
      </c>
      <c r="D52" s="492"/>
      <c r="E52" s="437" t="str">
        <f>Textes!A289</f>
        <v>5. Schlachtung</v>
      </c>
      <c r="F52" s="492"/>
      <c r="G52" s="437">
        <f>IF(D47-D48-D49-D50-D51-D52&gt;0,D47-D48-D49-D50-D51-D52,0)</f>
        <v>0</v>
      </c>
      <c r="H52" s="437">
        <f>IF(AND(D52&gt;0,B52&gt;0),B52-B47+1,0)</f>
        <v>0</v>
      </c>
      <c r="I52" s="441">
        <f>IF(H52&gt;0,IF(H52&gt;Faktoren!$D$5,Faktoren!$E$4,Faktoren!$E$5),0)</f>
        <v>0</v>
      </c>
      <c r="J52" s="439">
        <f>IF(H52&gt;0,D52*I52,0)</f>
        <v>0</v>
      </c>
      <c r="K52" s="437"/>
      <c r="L52" s="440"/>
      <c r="M52" s="560">
        <f>IF(OR(B52="",D52=""),0,H52+(I$6-B52))</f>
        <v>0</v>
      </c>
      <c r="N52" s="561">
        <f>IF(D52="",0,VLOOKUP(M52,Faktoren!$B$16:$D$55,2)/1000)</f>
        <v>0</v>
      </c>
    </row>
    <row r="53" spans="2:16" ht="13.5" thickBot="1">
      <c r="B53" s="482" t="str">
        <f>E53</f>
        <v>Abgänge</v>
      </c>
      <c r="C53" s="442"/>
      <c r="D53" s="437">
        <f>+D47-SUM(D48:D52)</f>
        <v>0</v>
      </c>
      <c r="E53" s="437" t="str">
        <f>Textes!A290</f>
        <v>Abgänge</v>
      </c>
      <c r="F53" s="492">
        <f>D53*0.6</f>
        <v>0</v>
      </c>
      <c r="G53" s="437"/>
      <c r="H53" s="437"/>
      <c r="I53" s="438">
        <f>IF(D53&gt;0,Faktoren!$E$7,0)</f>
        <v>0</v>
      </c>
      <c r="J53" s="439">
        <f>IF(D53&gt;0,D53*I53,0)</f>
        <v>0</v>
      </c>
      <c r="K53" s="443">
        <f>SUM(J48:J53)</f>
        <v>0</v>
      </c>
      <c r="L53" s="440"/>
      <c r="M53" s="560">
        <f>IF(MAX(B47:B52)&lt;$I$6,0,VLOOKUP($I$6,B47:G52,6))</f>
        <v>0</v>
      </c>
      <c r="O53" s="557">
        <f>MAX(B47:B52)</f>
        <v>0</v>
      </c>
      <c r="P53" s="553">
        <f>IF(OR($F$6="",I$6="",O53&lt;F$6),99,IF(AND(O53&gt;F$6,O53&lt;I$6),0,1))</f>
        <v>99</v>
      </c>
    </row>
    <row r="54" spans="2:16">
      <c r="B54" s="444"/>
      <c r="C54" s="439"/>
      <c r="D54" s="439">
        <f>IF(D47&gt;0,ROUND(+D53/D47*100,1),0)</f>
        <v>0</v>
      </c>
      <c r="E54" s="437" t="str">
        <f>Textes!A291</f>
        <v>Abgänge in %</v>
      </c>
      <c r="F54" s="437"/>
      <c r="G54" s="445" t="s">
        <v>830</v>
      </c>
      <c r="H54" s="437">
        <f>MAX(H47:H52)</f>
        <v>0</v>
      </c>
      <c r="I54" s="438" t="str">
        <f>Textes!A293</f>
        <v>Tage Stall belegt</v>
      </c>
      <c r="J54" s="439"/>
      <c r="K54" s="437"/>
      <c r="L54" s="440"/>
      <c r="N54" s="553">
        <f>IF(P53=1,$I$6-B47+1,H54)</f>
        <v>0</v>
      </c>
    </row>
    <row r="55" spans="2:16">
      <c r="B55" s="451"/>
      <c r="C55" s="452"/>
      <c r="D55" s="558">
        <f>IF(P53=99,0,IF(P53=0,H54/MAX(H48:H52),IF(P53=1,(H54-(O53-$I$6))/H54,0)))</f>
        <v>0</v>
      </c>
      <c r="E55" s="448" t="str">
        <f>Textes!A292</f>
        <v>Umtriebe</v>
      </c>
      <c r="F55" s="448"/>
      <c r="G55" s="447"/>
      <c r="H55" s="448">
        <f>IF(B57&lt;&gt;0,(B57-O53),0)</f>
        <v>0</v>
      </c>
      <c r="I55" s="438" t="str">
        <f>Textes!A294</f>
        <v>Tage Stall leer</v>
      </c>
      <c r="J55" s="447"/>
      <c r="K55" s="448"/>
      <c r="L55" s="450"/>
    </row>
    <row r="56" spans="2:16" ht="13.5" thickBot="1">
      <c r="B56" s="431" t="str">
        <f>Textes!A276</f>
        <v>Umtrieb 5</v>
      </c>
      <c r="C56" s="432"/>
      <c r="D56" s="433"/>
      <c r="E56" s="433"/>
      <c r="F56" s="433"/>
      <c r="G56" s="433"/>
      <c r="H56" s="433"/>
      <c r="I56" s="434"/>
      <c r="J56" s="435"/>
      <c r="K56" s="433"/>
      <c r="L56" s="436"/>
    </row>
    <row r="57" spans="2:16" ht="13.5" thickBot="1">
      <c r="B57" s="489"/>
      <c r="C57" s="569">
        <f t="shared" ref="C57:C62" si="5">YEAR(B57)</f>
        <v>1900</v>
      </c>
      <c r="D57" s="490"/>
      <c r="E57" s="437" t="str">
        <f>Textes!A284</f>
        <v>Einstallung</v>
      </c>
      <c r="F57" s="551">
        <f>D57*0.04</f>
        <v>0</v>
      </c>
      <c r="G57" s="437">
        <f>IF(D57&gt;0,D57,0)</f>
        <v>0</v>
      </c>
      <c r="H57" s="437"/>
      <c r="I57" s="438"/>
      <c r="J57" s="439"/>
      <c r="K57" s="437"/>
      <c r="L57" s="440"/>
      <c r="M57" s="560">
        <f>IF(OR(B57="",D57=""),0,IF((I$6-B57)=0,1,H57+(I$6-B57)))</f>
        <v>0</v>
      </c>
      <c r="N57" s="561">
        <f>IF(D57="",0,VLOOKUP(M57,Faktoren!$B$16:$D$55,2)/1000)</f>
        <v>0</v>
      </c>
    </row>
    <row r="58" spans="2:16">
      <c r="B58" s="489"/>
      <c r="C58" s="569">
        <f t="shared" si="5"/>
        <v>1900</v>
      </c>
      <c r="D58" s="491"/>
      <c r="E58" s="437" t="str">
        <f>Textes!A285</f>
        <v>1. Schlachtung</v>
      </c>
      <c r="F58" s="491"/>
      <c r="G58" s="437">
        <f>IF(D57-D58&gt;0,D57-D58,0)</f>
        <v>0</v>
      </c>
      <c r="H58" s="437">
        <f>IF(AND(D58&gt;0,B58&gt;0),B58-B57+1,0)</f>
        <v>0</v>
      </c>
      <c r="I58" s="441">
        <f>IF(H58&gt;0,IF(H58&gt;Faktoren!$D$5,Faktoren!$E$4,Faktoren!$E$5),0)</f>
        <v>0</v>
      </c>
      <c r="J58" s="439">
        <f>IF(H58&gt;0,D58*I58,0)</f>
        <v>0</v>
      </c>
      <c r="K58" s="437"/>
      <c r="L58" s="440"/>
      <c r="M58" s="560">
        <f>IF(OR(B58="",D58=""),0,H58+(I$6-B58))</f>
        <v>0</v>
      </c>
      <c r="N58" s="561">
        <f>IF(D58="",0,VLOOKUP(M58,Faktoren!$B$16:$D$55,2)/1000)</f>
        <v>0</v>
      </c>
    </row>
    <row r="59" spans="2:16">
      <c r="B59" s="489"/>
      <c r="C59" s="569">
        <f t="shared" si="5"/>
        <v>1900</v>
      </c>
      <c r="D59" s="492"/>
      <c r="E59" s="437" t="str">
        <f>Textes!A286</f>
        <v>2. Schlachtung</v>
      </c>
      <c r="F59" s="492"/>
      <c r="G59" s="437">
        <f>IF(D57-D58-D59&gt;0,D57-D58-D59,0)</f>
        <v>0</v>
      </c>
      <c r="H59" s="437">
        <f>IF(AND(D59&gt;0,B59&gt;0),B59-B57+1,0)</f>
        <v>0</v>
      </c>
      <c r="I59" s="441">
        <f>IF(H59&gt;0,IF(H59&gt;Faktoren!$D$5,Faktoren!$E$4,Faktoren!$E$5),0)</f>
        <v>0</v>
      </c>
      <c r="J59" s="439">
        <f>IF(H59&gt;0,D59*I59,0)</f>
        <v>0</v>
      </c>
      <c r="K59" s="437"/>
      <c r="L59" s="440"/>
      <c r="M59" s="560">
        <f>IF(OR(B59="",D59=""),0,H59+(I$6-B59))</f>
        <v>0</v>
      </c>
      <c r="N59" s="561">
        <f>IF(D59="",0,VLOOKUP(M59,Faktoren!$B$16:$D$55,2)/1000)</f>
        <v>0</v>
      </c>
    </row>
    <row r="60" spans="2:16">
      <c r="B60" s="489"/>
      <c r="C60" s="569">
        <f t="shared" si="5"/>
        <v>1900</v>
      </c>
      <c r="D60" s="492"/>
      <c r="E60" s="437" t="str">
        <f>Textes!A287</f>
        <v>3. Schlachtung</v>
      </c>
      <c r="F60" s="492"/>
      <c r="G60" s="437">
        <f>IF(D57-D58-D59-D60&gt;0,D57-D58-D59-D60,0)</f>
        <v>0</v>
      </c>
      <c r="H60" s="437">
        <f>IF(AND(D60&gt;0,B60&gt;0),B60-B57+1,0)</f>
        <v>0</v>
      </c>
      <c r="I60" s="441">
        <f>IF(H60&gt;0,IF(H60&gt;Faktoren!$D$5,Faktoren!$E$4,Faktoren!$E$5),0)</f>
        <v>0</v>
      </c>
      <c r="J60" s="439">
        <f>IF(H60&gt;0,D60*I60,0)</f>
        <v>0</v>
      </c>
      <c r="K60" s="437"/>
      <c r="L60" s="440"/>
      <c r="M60" s="560">
        <f>IF(OR(B60="",D60=""),0,H60+(I$6-B60))</f>
        <v>0</v>
      </c>
      <c r="N60" s="561">
        <f>IF(D60="",0,VLOOKUP(M60,Faktoren!$B$16:$D$55,2)/1000)</f>
        <v>0</v>
      </c>
    </row>
    <row r="61" spans="2:16">
      <c r="B61" s="489"/>
      <c r="C61" s="569">
        <f t="shared" si="5"/>
        <v>1900</v>
      </c>
      <c r="D61" s="492"/>
      <c r="E61" s="437" t="str">
        <f>Textes!A288</f>
        <v>4. Schlachtung</v>
      </c>
      <c r="F61" s="492"/>
      <c r="G61" s="437">
        <f>IF(D57-D58-D59-D60-D61&gt;0,D57-D58-D59-D60-D61,0)</f>
        <v>0</v>
      </c>
      <c r="H61" s="437">
        <f>IF(AND(D61&gt;0,B61&gt;0),B61-B57+1,0)</f>
        <v>0</v>
      </c>
      <c r="I61" s="441">
        <f>IF(H61&gt;0,IF(H61&gt;Faktoren!$D$5,Faktoren!$E$4,Faktoren!$E$5),0)</f>
        <v>0</v>
      </c>
      <c r="J61" s="439">
        <f>IF(H61&gt;0,D61*I61,0)</f>
        <v>0</v>
      </c>
      <c r="K61" s="437"/>
      <c r="L61" s="440"/>
      <c r="M61" s="560">
        <f>IF(OR(B61="",D61=""),0,H61+(I$6-B61))</f>
        <v>0</v>
      </c>
      <c r="N61" s="561">
        <f>IF(D61="",0,VLOOKUP(M61,Faktoren!$B$16:$D$55,2)/1000)</f>
        <v>0</v>
      </c>
    </row>
    <row r="62" spans="2:16" ht="13.5" thickBot="1">
      <c r="B62" s="489"/>
      <c r="C62" s="569">
        <f t="shared" si="5"/>
        <v>1900</v>
      </c>
      <c r="D62" s="492"/>
      <c r="E62" s="437" t="str">
        <f>Textes!A289</f>
        <v>5. Schlachtung</v>
      </c>
      <c r="F62" s="492"/>
      <c r="G62" s="437">
        <f>IF(D57-D58-D59-D60-D61-D62&gt;0,D57-D58-D59-D60-D61-D62,0)</f>
        <v>0</v>
      </c>
      <c r="H62" s="437">
        <f>IF(AND(D62&gt;0,B62&gt;0),B62-B57+1,0)</f>
        <v>0</v>
      </c>
      <c r="I62" s="441">
        <f>IF(H62&gt;0,IF(H62&gt;Faktoren!$D$5,Faktoren!$E$4,Faktoren!$E$5),0)</f>
        <v>0</v>
      </c>
      <c r="J62" s="439">
        <f>IF(H62&gt;0,D62*I62,0)</f>
        <v>0</v>
      </c>
      <c r="K62" s="437"/>
      <c r="L62" s="440"/>
      <c r="M62" s="560">
        <f>IF(OR(B62="",D62=""),0,H62+(I$6-B62))</f>
        <v>0</v>
      </c>
      <c r="N62" s="561">
        <f>IF(D62="",0,VLOOKUP(M62,Faktoren!$B$16:$D$55,2)/1000)</f>
        <v>0</v>
      </c>
      <c r="O62" s="555"/>
    </row>
    <row r="63" spans="2:16" ht="13.5" thickBot="1">
      <c r="B63" s="482" t="str">
        <f>E63</f>
        <v>Abgänge</v>
      </c>
      <c r="C63" s="442"/>
      <c r="D63" s="437">
        <f>+D57-SUM(D58:D62)</f>
        <v>0</v>
      </c>
      <c r="E63" s="437" t="str">
        <f>Textes!A290</f>
        <v>Abgänge</v>
      </c>
      <c r="F63" s="492">
        <f>D63*0.6</f>
        <v>0</v>
      </c>
      <c r="G63" s="437"/>
      <c r="H63" s="437"/>
      <c r="I63" s="438">
        <f>IF(D63&gt;0,Faktoren!$E$7,0)</f>
        <v>0</v>
      </c>
      <c r="J63" s="439">
        <f>IF(D63&gt;0,D63*I63,0)</f>
        <v>0</v>
      </c>
      <c r="K63" s="443">
        <f>SUM(J58:J63)</f>
        <v>0</v>
      </c>
      <c r="L63" s="440"/>
      <c r="M63" s="560">
        <f>IF(MAX(B57:B62)&lt;$I$6,0,VLOOKUP($I$6,B57:G62,6))</f>
        <v>0</v>
      </c>
      <c r="O63" s="557">
        <f>MAX(B57:B62)</f>
        <v>0</v>
      </c>
      <c r="P63" s="553">
        <f>IF(OR($F$6="",I$6="",O63&lt;F$6),99,IF(AND(O63&gt;F$6,O63&lt;I$6),0,1))</f>
        <v>99</v>
      </c>
    </row>
    <row r="64" spans="2:16">
      <c r="B64" s="444"/>
      <c r="C64" s="439"/>
      <c r="D64" s="439">
        <f>IF(D57&gt;0,ROUND(+D63/D57*100,1),0)</f>
        <v>0</v>
      </c>
      <c r="E64" s="437" t="str">
        <f>Textes!A291</f>
        <v>Abgänge in %</v>
      </c>
      <c r="F64" s="437"/>
      <c r="G64" s="445" t="s">
        <v>830</v>
      </c>
      <c r="H64" s="437">
        <f>MAX(H57:H62)</f>
        <v>0</v>
      </c>
      <c r="I64" s="438" t="str">
        <f>Textes!A293</f>
        <v>Tage Stall belegt</v>
      </c>
      <c r="J64" s="439"/>
      <c r="K64" s="437"/>
      <c r="L64" s="440"/>
      <c r="N64" s="553">
        <f>IF(P63=1,$I$6-B57+1,H64)</f>
        <v>0</v>
      </c>
    </row>
    <row r="65" spans="2:16">
      <c r="B65" s="451"/>
      <c r="C65" s="452"/>
      <c r="D65" s="558">
        <f>IF(P63=99,0,IF(P63=0,H64/MAX(H58:H62),IF(P63=1,(H64-(O63-$I$6))/H64,0)))</f>
        <v>0</v>
      </c>
      <c r="E65" s="448" t="str">
        <f>Textes!A292</f>
        <v>Umtriebe</v>
      </c>
      <c r="F65" s="448"/>
      <c r="G65" s="447"/>
      <c r="H65" s="448">
        <f>IF(B69&lt;&gt;0,(B69-O63),0)</f>
        <v>0</v>
      </c>
      <c r="I65" s="449" t="str">
        <f>Textes!A294</f>
        <v>Tage Stall leer</v>
      </c>
      <c r="J65" s="447"/>
      <c r="K65" s="448"/>
      <c r="L65" s="450"/>
    </row>
    <row r="66" spans="2:16">
      <c r="B66" s="442" t="str">
        <f>Textes!A253</f>
        <v>Stall 3</v>
      </c>
      <c r="C66" s="442"/>
      <c r="D66" s="437"/>
      <c r="E66" s="437"/>
      <c r="F66" s="437"/>
      <c r="G66" s="439"/>
      <c r="H66" s="437"/>
      <c r="I66" s="438"/>
      <c r="J66" s="439"/>
      <c r="K66" s="445" t="str">
        <f>Textes!A314</f>
        <v>Seite 2</v>
      </c>
      <c r="L66" s="437"/>
    </row>
    <row r="67" spans="2:16">
      <c r="B67" s="442"/>
      <c r="C67" s="442"/>
      <c r="D67" s="437"/>
      <c r="E67" s="437"/>
      <c r="F67" s="437"/>
      <c r="G67" s="439"/>
      <c r="H67" s="437"/>
      <c r="I67" s="438"/>
      <c r="J67" s="439"/>
      <c r="K67" s="437"/>
      <c r="L67" s="437"/>
    </row>
    <row r="68" spans="2:16" ht="13.5" thickBot="1">
      <c r="B68" s="431" t="str">
        <f>Textes!A277</f>
        <v>Umtrieb 6</v>
      </c>
      <c r="C68" s="432"/>
      <c r="D68" s="433"/>
      <c r="E68" s="433"/>
      <c r="F68" s="433"/>
      <c r="G68" s="433"/>
      <c r="H68" s="433"/>
      <c r="I68" s="434"/>
      <c r="J68" s="435"/>
      <c r="K68" s="433"/>
      <c r="L68" s="436"/>
    </row>
    <row r="69" spans="2:16" ht="13.5" thickBot="1">
      <c r="B69" s="489"/>
      <c r="C69" s="569">
        <f t="shared" ref="C69:C74" si="6">YEAR(B69)</f>
        <v>1900</v>
      </c>
      <c r="D69" s="490"/>
      <c r="E69" s="437" t="str">
        <f>Textes!A284</f>
        <v>Einstallung</v>
      </c>
      <c r="F69" s="551">
        <f>D69*0.04</f>
        <v>0</v>
      </c>
      <c r="G69" s="437">
        <f>IF(D69&gt;0,D69,0)</f>
        <v>0</v>
      </c>
      <c r="H69" s="437"/>
      <c r="I69" s="438"/>
      <c r="J69" s="439"/>
      <c r="K69" s="437"/>
      <c r="L69" s="440"/>
      <c r="M69" s="560">
        <f>IF(OR(B69="",D69=""),0,IF((I$6-B69)=0,1,H69+(I$6-B69)))</f>
        <v>0</v>
      </c>
      <c r="N69" s="561">
        <f>IF(D69="",0,VLOOKUP(M69,Faktoren!$B$16:$D$55,2)/1000)</f>
        <v>0</v>
      </c>
    </row>
    <row r="70" spans="2:16">
      <c r="B70" s="489"/>
      <c r="C70" s="569">
        <f t="shared" si="6"/>
        <v>1900</v>
      </c>
      <c r="D70" s="491"/>
      <c r="E70" s="437" t="str">
        <f>Textes!A285</f>
        <v>1. Schlachtung</v>
      </c>
      <c r="F70" s="491"/>
      <c r="G70" s="437">
        <f>IF(D69-D70&gt;0,D69-D70,0)</f>
        <v>0</v>
      </c>
      <c r="H70" s="437">
        <f>IF(AND(D70&gt;0,B70&gt;0),B70-B69+1,0)</f>
        <v>0</v>
      </c>
      <c r="I70" s="441">
        <f>IF(H70&gt;0,IF(H70&gt;Faktoren!$D$5,Faktoren!$E$4,Faktoren!$E$5),0)</f>
        <v>0</v>
      </c>
      <c r="J70" s="439">
        <f>IF(H70&gt;0,D70*I70,0)</f>
        <v>0</v>
      </c>
      <c r="K70" s="437"/>
      <c r="L70" s="440"/>
      <c r="M70" s="560">
        <f>IF(OR(B70="",D70=""),0,H70+(I$6-B70))</f>
        <v>0</v>
      </c>
      <c r="N70" s="561">
        <f>IF(D70="",0,VLOOKUP(M70,Faktoren!$B$16:$D$55,2)/1000)</f>
        <v>0</v>
      </c>
    </row>
    <row r="71" spans="2:16">
      <c r="B71" s="489"/>
      <c r="C71" s="569">
        <f t="shared" si="6"/>
        <v>1900</v>
      </c>
      <c r="D71" s="492"/>
      <c r="E71" s="437" t="str">
        <f>Textes!A286</f>
        <v>2. Schlachtung</v>
      </c>
      <c r="F71" s="492"/>
      <c r="G71" s="437">
        <f>IF(D69-D70-D71&gt;0,D69-D70-D71,0)</f>
        <v>0</v>
      </c>
      <c r="H71" s="437">
        <f>IF(AND(D71&gt;0,B71&gt;0),B71-B69+1,0)</f>
        <v>0</v>
      </c>
      <c r="I71" s="441">
        <f>IF(H71&gt;0,IF(H71&gt;Faktoren!$D$5,Faktoren!$E$4,Faktoren!$E$5),0)</f>
        <v>0</v>
      </c>
      <c r="J71" s="439">
        <f>IF(H71&gt;0,D71*I71,0)</f>
        <v>0</v>
      </c>
      <c r="K71" s="437"/>
      <c r="L71" s="440"/>
      <c r="M71" s="560">
        <f>IF(OR(B71="",D71=""),0,H71+(I$6-B71))</f>
        <v>0</v>
      </c>
      <c r="N71" s="561">
        <f>IF(D71="",0,VLOOKUP(M71,Faktoren!$B$16:$D$55,2)/1000)</f>
        <v>0</v>
      </c>
    </row>
    <row r="72" spans="2:16">
      <c r="B72" s="489"/>
      <c r="C72" s="569">
        <f t="shared" si="6"/>
        <v>1900</v>
      </c>
      <c r="D72" s="492"/>
      <c r="E72" s="437" t="str">
        <f>Textes!A287</f>
        <v>3. Schlachtung</v>
      </c>
      <c r="F72" s="492"/>
      <c r="G72" s="437">
        <f>IF(D69-D70-D71-D72&gt;0,D69-D70-D71-D72,0)</f>
        <v>0</v>
      </c>
      <c r="H72" s="437">
        <f>IF(AND(D72&gt;0,B72&gt;0),B72-B69+1,0)</f>
        <v>0</v>
      </c>
      <c r="I72" s="441">
        <f>IF(H72&gt;0,IF(H72&gt;Faktoren!$D$5,Faktoren!$E$4,Faktoren!$E$5),0)</f>
        <v>0</v>
      </c>
      <c r="J72" s="439">
        <f>IF(H72&gt;0,D72*I72,0)</f>
        <v>0</v>
      </c>
      <c r="K72" s="437"/>
      <c r="L72" s="440"/>
      <c r="M72" s="560">
        <f>IF(OR(B72="",D72=""),0,H72+(I$6-B72))</f>
        <v>0</v>
      </c>
      <c r="N72" s="561">
        <f>IF(D72="",0,VLOOKUP(M72,Faktoren!$B$16:$D$55,2)/1000)</f>
        <v>0</v>
      </c>
    </row>
    <row r="73" spans="2:16">
      <c r="B73" s="489"/>
      <c r="C73" s="569">
        <f t="shared" si="6"/>
        <v>1900</v>
      </c>
      <c r="D73" s="492"/>
      <c r="E73" s="437" t="str">
        <f>Textes!A288</f>
        <v>4. Schlachtung</v>
      </c>
      <c r="F73" s="492"/>
      <c r="G73" s="437">
        <f>IF(D69-D70-D71-D72-D73&gt;0,D69-D70-D71-D72-D73,0)</f>
        <v>0</v>
      </c>
      <c r="H73" s="437">
        <f>IF(AND(D73&gt;0,B73&gt;0),B73-B69+1,0)</f>
        <v>0</v>
      </c>
      <c r="I73" s="441">
        <f>IF(H73&gt;0,IF(H73&gt;Faktoren!$D$5,Faktoren!$E$4,Faktoren!$E$5),0)</f>
        <v>0</v>
      </c>
      <c r="J73" s="439">
        <f>IF(H73&gt;0,D73*I73,0)</f>
        <v>0</v>
      </c>
      <c r="K73" s="437"/>
      <c r="L73" s="440"/>
      <c r="M73" s="560">
        <f>IF(OR(B73="",D73=""),0,H73+(I$6-B73))</f>
        <v>0</v>
      </c>
      <c r="N73" s="561">
        <f>IF(D73="",0,VLOOKUP(M73,Faktoren!$B$16:$D$55,2)/1000)</f>
        <v>0</v>
      </c>
    </row>
    <row r="74" spans="2:16" ht="13.5" thickBot="1">
      <c r="B74" s="489"/>
      <c r="C74" s="569">
        <f t="shared" si="6"/>
        <v>1900</v>
      </c>
      <c r="D74" s="492"/>
      <c r="E74" s="437" t="str">
        <f>Textes!A289</f>
        <v>5. Schlachtung</v>
      </c>
      <c r="F74" s="492"/>
      <c r="G74" s="437">
        <f>IF(D69-D70-D71-D72-D73-D74&gt;0,D69-D70-D71-D72-D73-D74,0)</f>
        <v>0</v>
      </c>
      <c r="H74" s="437">
        <f>IF(AND(D74&gt;0,B74&gt;0),B74-B69+1,0)</f>
        <v>0</v>
      </c>
      <c r="I74" s="441">
        <f>IF(H74&gt;0,IF(H74&gt;Faktoren!$D$5,Faktoren!$E$4,Faktoren!$E$5),0)</f>
        <v>0</v>
      </c>
      <c r="J74" s="439">
        <f>IF(H74&gt;0,D74*I74,0)</f>
        <v>0</v>
      </c>
      <c r="K74" s="437"/>
      <c r="L74" s="440"/>
      <c r="M74" s="560">
        <f>IF(OR(B74="",D74=""),0,H74+(I$6-B74))</f>
        <v>0</v>
      </c>
      <c r="N74" s="561">
        <f>IF(D74="",0,VLOOKUP(M74,Faktoren!$B$16:$D$55,2)/1000)</f>
        <v>0</v>
      </c>
    </row>
    <row r="75" spans="2:16" ht="13.5" thickBot="1">
      <c r="B75" s="482" t="str">
        <f>E75</f>
        <v>Abgänge</v>
      </c>
      <c r="C75" s="442"/>
      <c r="D75" s="437">
        <f>+D69-SUM(D70:D74)</f>
        <v>0</v>
      </c>
      <c r="E75" s="437" t="str">
        <f>Textes!A290</f>
        <v>Abgänge</v>
      </c>
      <c r="F75" s="492">
        <f>D75*0.6</f>
        <v>0</v>
      </c>
      <c r="G75" s="437"/>
      <c r="H75" s="437"/>
      <c r="I75" s="438">
        <f>IF(D75&gt;0,Faktoren!$E$7,0)</f>
        <v>0</v>
      </c>
      <c r="J75" s="439">
        <f>IF(D75&gt;0,D75*I75,0)</f>
        <v>0</v>
      </c>
      <c r="K75" s="443">
        <f>SUM(J70:J75)</f>
        <v>0</v>
      </c>
      <c r="L75" s="440"/>
      <c r="M75" s="560">
        <f>IF(MAX(B69:B74)&lt;$I$6,0,VLOOKUP($I$6,B69:G74,6))</f>
        <v>0</v>
      </c>
      <c r="O75" s="557">
        <f>MAX(B69:B74)</f>
        <v>0</v>
      </c>
      <c r="P75" s="553">
        <f>IF(OR($F$6="",I$6="",O75&lt;F$6),99,IF(AND(O75&gt;F$6,O75&lt;I$6),0,1))</f>
        <v>99</v>
      </c>
    </row>
    <row r="76" spans="2:16">
      <c r="B76" s="444"/>
      <c r="C76" s="439"/>
      <c r="D76" s="439">
        <f>IF(D69&gt;0,ROUND(+D75/D69*100,1),0)</f>
        <v>0</v>
      </c>
      <c r="E76" s="437" t="str">
        <f>Textes!A291</f>
        <v>Abgänge in %</v>
      </c>
      <c r="F76" s="437"/>
      <c r="G76" s="445" t="s">
        <v>830</v>
      </c>
      <c r="H76" s="437">
        <f>MAX(H69:H74)</f>
        <v>0</v>
      </c>
      <c r="I76" s="438" t="str">
        <f>Textes!A293</f>
        <v>Tage Stall belegt</v>
      </c>
      <c r="J76" s="439"/>
      <c r="K76" s="437"/>
      <c r="L76" s="440"/>
      <c r="N76" s="553">
        <f>IF(P75=1,$I$6-B69+1,H76)</f>
        <v>0</v>
      </c>
    </row>
    <row r="77" spans="2:16">
      <c r="B77" s="451"/>
      <c r="C77" s="452"/>
      <c r="D77" s="558">
        <f>IF(P75=99,0,IF(P75=0,H76/MAX(H70:H74),IF(P75=1,(H76-(O75-$I$6))/H76,0)))</f>
        <v>0</v>
      </c>
      <c r="E77" s="448" t="str">
        <f>Textes!A292</f>
        <v>Umtriebe</v>
      </c>
      <c r="F77" s="448"/>
      <c r="G77" s="447"/>
      <c r="H77" s="448">
        <f>IF(B79&lt;&gt;0,(B79-O75),0)</f>
        <v>0</v>
      </c>
      <c r="I77" s="438" t="str">
        <f>Textes!A294</f>
        <v>Tage Stall leer</v>
      </c>
      <c r="J77" s="447"/>
      <c r="K77" s="448"/>
      <c r="L77" s="450"/>
    </row>
    <row r="78" spans="2:16" ht="13.5" thickBot="1">
      <c r="B78" s="431" t="str">
        <f>Textes!A278</f>
        <v>Umtrieb 7</v>
      </c>
      <c r="C78" s="432"/>
      <c r="D78" s="433"/>
      <c r="E78" s="433"/>
      <c r="F78" s="433"/>
      <c r="G78" s="433"/>
      <c r="H78" s="433"/>
      <c r="I78" s="434"/>
      <c r="J78" s="435"/>
      <c r="K78" s="433"/>
      <c r="L78" s="436"/>
    </row>
    <row r="79" spans="2:16" ht="13.5" thickBot="1">
      <c r="B79" s="489"/>
      <c r="C79" s="569">
        <f t="shared" ref="C79:C84" si="7">YEAR(B79)</f>
        <v>1900</v>
      </c>
      <c r="D79" s="490"/>
      <c r="E79" s="437" t="str">
        <f>Textes!A284</f>
        <v>Einstallung</v>
      </c>
      <c r="F79" s="551">
        <f>D79*0.04</f>
        <v>0</v>
      </c>
      <c r="G79" s="437">
        <f>IF(D79&gt;0,D79,0)</f>
        <v>0</v>
      </c>
      <c r="H79" s="437"/>
      <c r="I79" s="438"/>
      <c r="J79" s="439"/>
      <c r="K79" s="437"/>
      <c r="L79" s="440"/>
      <c r="M79" s="560">
        <f>IF(OR(B79="",D79=""),0,IF((I$6-B79)=0,1,H79+(I$6-B79)))</f>
        <v>0</v>
      </c>
      <c r="N79" s="561">
        <f>IF(D79="",0,VLOOKUP(M79,Faktoren!$B$16:$D$55,2)/1000)</f>
        <v>0</v>
      </c>
    </row>
    <row r="80" spans="2:16">
      <c r="B80" s="489"/>
      <c r="C80" s="569">
        <f t="shared" si="7"/>
        <v>1900</v>
      </c>
      <c r="D80" s="491"/>
      <c r="E80" s="437" t="str">
        <f>Textes!A285</f>
        <v>1. Schlachtung</v>
      </c>
      <c r="F80" s="491"/>
      <c r="G80" s="437">
        <f>IF(D79-D80&gt;0,D79-D80,0)</f>
        <v>0</v>
      </c>
      <c r="H80" s="437">
        <f>IF(AND(D80&gt;0,B80&gt;0),B80-B79+1,0)</f>
        <v>0</v>
      </c>
      <c r="I80" s="441">
        <f>IF(H80&gt;0,IF(H80&gt;Faktoren!$D$5,Faktoren!$E$4,Faktoren!$E$5),0)</f>
        <v>0</v>
      </c>
      <c r="J80" s="439">
        <f>IF(H80&gt;0,D80*I80,0)</f>
        <v>0</v>
      </c>
      <c r="K80" s="437"/>
      <c r="L80" s="440"/>
      <c r="M80" s="560">
        <f>IF(OR(B80="",D80=""),0,H80+(I$6-B80))</f>
        <v>0</v>
      </c>
      <c r="N80" s="561">
        <f>IF(D80="",0,VLOOKUP(M80,Faktoren!$B$16:$D$55,2)/1000)</f>
        <v>0</v>
      </c>
    </row>
    <row r="81" spans="2:16">
      <c r="B81" s="489"/>
      <c r="C81" s="569">
        <f t="shared" si="7"/>
        <v>1900</v>
      </c>
      <c r="D81" s="492"/>
      <c r="E81" s="437" t="str">
        <f>Textes!A286</f>
        <v>2. Schlachtung</v>
      </c>
      <c r="F81" s="492"/>
      <c r="G81" s="437">
        <f>IF(D79-D80-D81&gt;0,D79-D80-D81,0)</f>
        <v>0</v>
      </c>
      <c r="H81" s="437">
        <f>IF(AND(D81&gt;0,B81&gt;0),B81-B79+1,0)</f>
        <v>0</v>
      </c>
      <c r="I81" s="441">
        <f>IF(H81&gt;0,IF(H81&gt;Faktoren!$D$5,Faktoren!$E$4,Faktoren!$E$5),0)</f>
        <v>0</v>
      </c>
      <c r="J81" s="439">
        <f>IF(H81&gt;0,D81*I81,0)</f>
        <v>0</v>
      </c>
      <c r="K81" s="437"/>
      <c r="L81" s="440"/>
      <c r="M81" s="560">
        <f>IF(OR(B81="",D81=""),0,H81+(I$6-B81))</f>
        <v>0</v>
      </c>
      <c r="N81" s="561">
        <f>IF(D81="",0,VLOOKUP(M81,Faktoren!$B$16:$D$55,2)/1000)</f>
        <v>0</v>
      </c>
    </row>
    <row r="82" spans="2:16">
      <c r="B82" s="489"/>
      <c r="C82" s="569">
        <f t="shared" si="7"/>
        <v>1900</v>
      </c>
      <c r="D82" s="492"/>
      <c r="E82" s="437" t="str">
        <f>Textes!A287</f>
        <v>3. Schlachtung</v>
      </c>
      <c r="F82" s="492"/>
      <c r="G82" s="437">
        <f>IF(D79-D80-D81-D82&gt;0,D79-D80-D81-D82,0)</f>
        <v>0</v>
      </c>
      <c r="H82" s="437">
        <f>IF(AND(D82&gt;0,B82&gt;0),B82-B79+1,0)</f>
        <v>0</v>
      </c>
      <c r="I82" s="441">
        <f>IF(H82&gt;0,IF(H82&gt;Faktoren!$D$5,Faktoren!$E$4,Faktoren!$E$5),0)</f>
        <v>0</v>
      </c>
      <c r="J82" s="439">
        <f>IF(H82&gt;0,D82*I82,0)</f>
        <v>0</v>
      </c>
      <c r="K82" s="437"/>
      <c r="L82" s="440"/>
      <c r="M82" s="560">
        <f>IF(OR(B82="",D82=""),0,H82+(I$6-B82))</f>
        <v>0</v>
      </c>
      <c r="N82" s="561">
        <f>IF(D82="",0,VLOOKUP(M82,Faktoren!$B$16:$D$55,2)/1000)</f>
        <v>0</v>
      </c>
    </row>
    <row r="83" spans="2:16">
      <c r="B83" s="489"/>
      <c r="C83" s="569">
        <f t="shared" si="7"/>
        <v>1900</v>
      </c>
      <c r="D83" s="492"/>
      <c r="E83" s="437" t="str">
        <f>Textes!A288</f>
        <v>4. Schlachtung</v>
      </c>
      <c r="F83" s="492"/>
      <c r="G83" s="437">
        <f>IF(D79-D80-D81-D82-D83&gt;0,D79-D80-D81-D82-D83,0)</f>
        <v>0</v>
      </c>
      <c r="H83" s="437">
        <f>IF(AND(D83&gt;0,B83&gt;0),B83-B79+1,0)</f>
        <v>0</v>
      </c>
      <c r="I83" s="441">
        <f>IF(H83&gt;0,IF(H83&gt;Faktoren!$D$5,Faktoren!$E$4,Faktoren!$E$5),0)</f>
        <v>0</v>
      </c>
      <c r="J83" s="439">
        <f>IF(H83&gt;0,D83*I83,0)</f>
        <v>0</v>
      </c>
      <c r="K83" s="437"/>
      <c r="L83" s="440"/>
      <c r="M83" s="560">
        <f>IF(OR(B83="",D83=""),0,H83+(I$6-B83))</f>
        <v>0</v>
      </c>
      <c r="N83" s="561">
        <f>IF(D83="",0,VLOOKUP(M83,Faktoren!$B$16:$D$55,2)/1000)</f>
        <v>0</v>
      </c>
    </row>
    <row r="84" spans="2:16" ht="13.5" thickBot="1">
      <c r="B84" s="489"/>
      <c r="C84" s="569">
        <f t="shared" si="7"/>
        <v>1900</v>
      </c>
      <c r="D84" s="492"/>
      <c r="E84" s="437" t="str">
        <f>Textes!A289</f>
        <v>5. Schlachtung</v>
      </c>
      <c r="F84" s="492"/>
      <c r="G84" s="437">
        <f>IF(D79-D80-D81-D82-D83-D84&gt;0,D79-D80-D81-D82-D83-D84,0)</f>
        <v>0</v>
      </c>
      <c r="H84" s="437">
        <f>IF(AND(D84&gt;0,B84&gt;0),B84-B79+1,0)</f>
        <v>0</v>
      </c>
      <c r="I84" s="441">
        <f>IF(H84&gt;0,IF(H84&gt;Faktoren!$D$5,Faktoren!$E$4,Faktoren!$E$5),0)</f>
        <v>0</v>
      </c>
      <c r="J84" s="439">
        <f>IF(H84&gt;0,D84*I84,0)</f>
        <v>0</v>
      </c>
      <c r="K84" s="437"/>
      <c r="L84" s="440"/>
      <c r="M84" s="560">
        <f>IF(OR(B84="",D84=""),0,H84+(I$6-B84))</f>
        <v>0</v>
      </c>
      <c r="N84" s="561">
        <f>IF(D84="",0,VLOOKUP(M84,Faktoren!$B$16:$D$55,2)/1000)</f>
        <v>0</v>
      </c>
    </row>
    <row r="85" spans="2:16" ht="13.5" thickBot="1">
      <c r="B85" s="482" t="str">
        <f>E85</f>
        <v>Abgänge</v>
      </c>
      <c r="C85" s="442"/>
      <c r="D85" s="437">
        <f>+D79-SUM(D80:D84)</f>
        <v>0</v>
      </c>
      <c r="E85" s="437" t="str">
        <f>Textes!A290</f>
        <v>Abgänge</v>
      </c>
      <c r="F85" s="492">
        <f>D85*0.6</f>
        <v>0</v>
      </c>
      <c r="G85" s="437"/>
      <c r="H85" s="437"/>
      <c r="I85" s="438">
        <f>IF(D85&gt;0,Faktoren!$E$7,0)</f>
        <v>0</v>
      </c>
      <c r="J85" s="439">
        <f>IF(D85&gt;0,D85*I85,0)</f>
        <v>0</v>
      </c>
      <c r="K85" s="443">
        <f>SUM(J80:J85)</f>
        <v>0</v>
      </c>
      <c r="L85" s="440"/>
      <c r="M85" s="560">
        <f>IF(MAX(B79:B84)&lt;$I$6,0,VLOOKUP($I$6,B79:G84,6))</f>
        <v>0</v>
      </c>
      <c r="O85" s="557">
        <f>MAX(B79:B84)</f>
        <v>0</v>
      </c>
      <c r="P85" s="553">
        <f>IF(OR($F$6="",I$6="",O85&lt;F$6),99,IF(AND(O85&gt;F$6,O85&lt;I$6),0,1))</f>
        <v>99</v>
      </c>
    </row>
    <row r="86" spans="2:16">
      <c r="B86" s="444"/>
      <c r="C86" s="439"/>
      <c r="D86" s="439">
        <f>IF(D79&gt;0,ROUND(+D85/D79*100,1),0)</f>
        <v>0</v>
      </c>
      <c r="E86" s="437" t="str">
        <f>Textes!A291</f>
        <v>Abgänge in %</v>
      </c>
      <c r="F86" s="437"/>
      <c r="G86" s="445" t="s">
        <v>830</v>
      </c>
      <c r="H86" s="437">
        <f>MAX(H79:H84)</f>
        <v>0</v>
      </c>
      <c r="I86" s="438" t="str">
        <f>Textes!A293</f>
        <v>Tage Stall belegt</v>
      </c>
      <c r="J86" s="439"/>
      <c r="K86" s="437"/>
      <c r="L86" s="440"/>
      <c r="M86" s="437"/>
      <c r="N86" s="553">
        <f>IF(P85=1,$I$6-B79+1,H86)</f>
        <v>0</v>
      </c>
    </row>
    <row r="87" spans="2:16">
      <c r="B87" s="451"/>
      <c r="C87" s="452"/>
      <c r="D87" s="558">
        <f>IF(P85=99,0,IF(P85=0,H86/MAX(H80:H84),IF(P85=1,(H86-(O85-$I$6))/H86,0)))</f>
        <v>0</v>
      </c>
      <c r="E87" s="448" t="str">
        <f>Textes!A292</f>
        <v>Umtriebe</v>
      </c>
      <c r="F87" s="448"/>
      <c r="G87" s="447"/>
      <c r="H87" s="448">
        <f>IF(B89&lt;&gt;0,(B89-O85),0)</f>
        <v>0</v>
      </c>
      <c r="I87" s="438" t="str">
        <f>Textes!A294</f>
        <v>Tage Stall leer</v>
      </c>
      <c r="J87" s="447"/>
      <c r="K87" s="448"/>
      <c r="L87" s="450"/>
    </row>
    <row r="88" spans="2:16" ht="13.5" thickBot="1">
      <c r="B88" s="431" t="str">
        <f>Textes!A279</f>
        <v>Umtrieb 8</v>
      </c>
      <c r="C88" s="432"/>
      <c r="D88" s="433"/>
      <c r="E88" s="433"/>
      <c r="F88" s="433"/>
      <c r="G88" s="433"/>
      <c r="H88" s="433"/>
      <c r="I88" s="434"/>
      <c r="J88" s="435"/>
      <c r="K88" s="433"/>
      <c r="L88" s="436"/>
    </row>
    <row r="89" spans="2:16" ht="13.5" thickBot="1">
      <c r="B89" s="489"/>
      <c r="C89" s="569">
        <f t="shared" ref="C89:C94" si="8">YEAR(B89)</f>
        <v>1900</v>
      </c>
      <c r="D89" s="490"/>
      <c r="E89" s="437" t="str">
        <f>Textes!A284</f>
        <v>Einstallung</v>
      </c>
      <c r="F89" s="551">
        <f>D89*0.04</f>
        <v>0</v>
      </c>
      <c r="G89" s="437">
        <f>IF(D89&gt;0,D89,0)</f>
        <v>0</v>
      </c>
      <c r="H89" s="437"/>
      <c r="I89" s="438"/>
      <c r="J89" s="439"/>
      <c r="K89" s="437"/>
      <c r="L89" s="440"/>
      <c r="M89" s="560">
        <f>IF(OR(B89="",D89=""),0,IF((I$6-B89)=0,1,H89+(I$6-B89)))</f>
        <v>0</v>
      </c>
      <c r="N89" s="561">
        <f>IF(D89="",0,VLOOKUP(M89,Faktoren!$B$16:$D$55,2)/1000)</f>
        <v>0</v>
      </c>
    </row>
    <row r="90" spans="2:16">
      <c r="B90" s="489"/>
      <c r="C90" s="569">
        <f t="shared" si="8"/>
        <v>1900</v>
      </c>
      <c r="D90" s="491"/>
      <c r="E90" s="437" t="str">
        <f>Textes!A285</f>
        <v>1. Schlachtung</v>
      </c>
      <c r="F90" s="491"/>
      <c r="G90" s="437">
        <f>IF(D89-D90&gt;0,D89-D90,0)</f>
        <v>0</v>
      </c>
      <c r="H90" s="437">
        <f>IF(AND(D90&gt;0,B90&gt;0),B90-B89+1,0)</f>
        <v>0</v>
      </c>
      <c r="I90" s="441">
        <f>IF(H90&gt;0,IF(H90&gt;Faktoren!$D$5,Faktoren!$E$4,Faktoren!$E$5),0)</f>
        <v>0</v>
      </c>
      <c r="J90" s="439">
        <f>IF(H90&gt;0,D90*I90,0)</f>
        <v>0</v>
      </c>
      <c r="K90" s="437"/>
      <c r="L90" s="440"/>
      <c r="M90" s="560">
        <f>IF(OR(B90="",D90=""),0,H90+(I$6-B90))</f>
        <v>0</v>
      </c>
      <c r="N90" s="561">
        <f>IF(D90="",0,VLOOKUP(M90,Faktoren!$B$16:$D$55,2)/1000)</f>
        <v>0</v>
      </c>
    </row>
    <row r="91" spans="2:16">
      <c r="B91" s="489"/>
      <c r="C91" s="569">
        <f t="shared" si="8"/>
        <v>1900</v>
      </c>
      <c r="D91" s="492"/>
      <c r="E91" s="437" t="str">
        <f>Textes!A286</f>
        <v>2. Schlachtung</v>
      </c>
      <c r="F91" s="492"/>
      <c r="G91" s="437">
        <f>IF(D89-D90-D91&gt;0,D89-D90-D91,0)</f>
        <v>0</v>
      </c>
      <c r="H91" s="437">
        <f>IF(AND(D91&gt;0,B91&gt;0),B91-B89+1,0)</f>
        <v>0</v>
      </c>
      <c r="I91" s="441">
        <f>IF(H91&gt;0,IF(H91&gt;Faktoren!$D$5,Faktoren!$E$4,Faktoren!$E$5),0)</f>
        <v>0</v>
      </c>
      <c r="J91" s="439">
        <f>IF(H91&gt;0,D91*I91,0)</f>
        <v>0</v>
      </c>
      <c r="K91" s="437"/>
      <c r="L91" s="440"/>
      <c r="M91" s="560">
        <f>IF(OR(B91="",D91=""),0,H91+(I$6-B91))</f>
        <v>0</v>
      </c>
      <c r="N91" s="561">
        <f>IF(D91="",0,VLOOKUP(M91,Faktoren!$B$16:$D$55,2)/1000)</f>
        <v>0</v>
      </c>
    </row>
    <row r="92" spans="2:16">
      <c r="B92" s="489"/>
      <c r="C92" s="569">
        <f t="shared" si="8"/>
        <v>1900</v>
      </c>
      <c r="D92" s="492"/>
      <c r="E92" s="437" t="str">
        <f>Textes!A287</f>
        <v>3. Schlachtung</v>
      </c>
      <c r="F92" s="492"/>
      <c r="G92" s="437">
        <f>IF(D89-D90-D91-D92&gt;0,D89-D90-D91-D92,0)</f>
        <v>0</v>
      </c>
      <c r="H92" s="437">
        <f>IF(AND(D92&gt;0,B92&gt;0),B92-B89+1,0)</f>
        <v>0</v>
      </c>
      <c r="I92" s="441">
        <f>IF(H92&gt;0,IF(H92&gt;Faktoren!$D$5,Faktoren!$E$4,Faktoren!$E$5),0)</f>
        <v>0</v>
      </c>
      <c r="J92" s="439">
        <f>IF(H92&gt;0,D92*I92,0)</f>
        <v>0</v>
      </c>
      <c r="K92" s="437"/>
      <c r="L92" s="440"/>
      <c r="M92" s="560">
        <f>IF(OR(B92="",D92=""),0,H92+(I$6-B92))</f>
        <v>0</v>
      </c>
      <c r="N92" s="561">
        <f>IF(D92="",0,VLOOKUP(M92,Faktoren!$B$16:$D$55,2)/1000)</f>
        <v>0</v>
      </c>
    </row>
    <row r="93" spans="2:16">
      <c r="B93" s="489"/>
      <c r="C93" s="569">
        <f t="shared" si="8"/>
        <v>1900</v>
      </c>
      <c r="D93" s="492"/>
      <c r="E93" s="437" t="str">
        <f>Textes!A288</f>
        <v>4. Schlachtung</v>
      </c>
      <c r="F93" s="492"/>
      <c r="G93" s="437">
        <f>IF(D89-D90-D91-D92-D93&gt;0,D89-D90-D91-D92-D93,0)</f>
        <v>0</v>
      </c>
      <c r="H93" s="437">
        <f>IF(AND(D93&gt;0,B93&gt;0),B93-B89+1,0)</f>
        <v>0</v>
      </c>
      <c r="I93" s="441">
        <f>IF(H93&gt;0,IF(H93&gt;Faktoren!$D$5,Faktoren!$E$4,Faktoren!$E$5),0)</f>
        <v>0</v>
      </c>
      <c r="J93" s="439">
        <f>IF(H93&gt;0,D93*I93,0)</f>
        <v>0</v>
      </c>
      <c r="K93" s="437"/>
      <c r="L93" s="440"/>
      <c r="M93" s="560">
        <f>IF(OR(B93="",D93=""),0,H93+(I$6-B93))</f>
        <v>0</v>
      </c>
      <c r="N93" s="561">
        <f>IF(D93="",0,VLOOKUP(M93,Faktoren!$B$16:$D$55,2)/1000)</f>
        <v>0</v>
      </c>
    </row>
    <row r="94" spans="2:16" ht="13.5" thickBot="1">
      <c r="B94" s="489"/>
      <c r="C94" s="569">
        <f t="shared" si="8"/>
        <v>1900</v>
      </c>
      <c r="D94" s="492"/>
      <c r="E94" s="437" t="str">
        <f>Textes!A289</f>
        <v>5. Schlachtung</v>
      </c>
      <c r="F94" s="492"/>
      <c r="G94" s="437">
        <f>IF(D89-D90-D91-D92-D93-D94&gt;0,D89-D90-D91-D92-D93-D94,0)</f>
        <v>0</v>
      </c>
      <c r="H94" s="437">
        <f>IF(AND(D94&gt;0,B94&gt;0),B94-B89+1,0)</f>
        <v>0</v>
      </c>
      <c r="I94" s="441">
        <f>IF(H94&gt;0,IF(H94&gt;Faktoren!$D$5,Faktoren!$E$4,Faktoren!$E$5),0)</f>
        <v>0</v>
      </c>
      <c r="J94" s="439">
        <f>IF(H94&gt;0,D94*I94,0)</f>
        <v>0</v>
      </c>
      <c r="K94" s="437"/>
      <c r="L94" s="440"/>
      <c r="M94" s="560">
        <f>IF(OR(B94="",D94=""),0,H94+(I$6-B94))</f>
        <v>0</v>
      </c>
      <c r="N94" s="561">
        <f>IF(D94="",0,VLOOKUP(M94,Faktoren!$B$16:$D$55,2)/1000)</f>
        <v>0</v>
      </c>
    </row>
    <row r="95" spans="2:16" ht="13.5" thickBot="1">
      <c r="B95" s="482" t="str">
        <f>E95</f>
        <v>Abgänge</v>
      </c>
      <c r="C95" s="442"/>
      <c r="D95" s="437">
        <f>+D89-SUM(D90:D94)</f>
        <v>0</v>
      </c>
      <c r="E95" s="437" t="str">
        <f>Textes!A290</f>
        <v>Abgänge</v>
      </c>
      <c r="F95" s="492">
        <f>D95*0.6</f>
        <v>0</v>
      </c>
      <c r="G95" s="437"/>
      <c r="H95" s="437"/>
      <c r="I95" s="438">
        <f>IF(D95&gt;0,Faktoren!$E$7,0)</f>
        <v>0</v>
      </c>
      <c r="J95" s="439">
        <f>IF(D95&gt;0,D95*I95,0)</f>
        <v>0</v>
      </c>
      <c r="K95" s="443">
        <f>SUM(J90:J95)</f>
        <v>0</v>
      </c>
      <c r="L95" s="440"/>
      <c r="M95" s="560">
        <f>IF(MAX(B89:B94)&lt;$I$6,0,VLOOKUP($I$6,B89:G94,6))</f>
        <v>0</v>
      </c>
      <c r="N95" s="454"/>
      <c r="O95" s="557">
        <f>MAX(B89:B94)</f>
        <v>0</v>
      </c>
      <c r="P95" s="553">
        <f>IF(OR($F$6="",I$6="",O95&lt;F$6),99,IF(AND(O95&gt;F$6,O95&lt;I$6),0,1))</f>
        <v>99</v>
      </c>
    </row>
    <row r="96" spans="2:16">
      <c r="B96" s="444"/>
      <c r="C96" s="439"/>
      <c r="D96" s="439">
        <f>IF(D89&gt;0,ROUND(+D95/D89*100,1),0)</f>
        <v>0</v>
      </c>
      <c r="E96" s="437" t="str">
        <f>Textes!A291</f>
        <v>Abgänge in %</v>
      </c>
      <c r="F96" s="437"/>
      <c r="G96" s="445" t="s">
        <v>830</v>
      </c>
      <c r="H96" s="437">
        <f>MAX(H89:H94)</f>
        <v>0</v>
      </c>
      <c r="I96" s="438" t="str">
        <f>Textes!A293</f>
        <v>Tage Stall belegt</v>
      </c>
      <c r="J96" s="439"/>
      <c r="K96" s="437"/>
      <c r="L96" s="440"/>
      <c r="M96" s="437"/>
      <c r="N96" s="553">
        <f>IF(P95=1,$I$6-B89+1,H96)</f>
        <v>0</v>
      </c>
    </row>
    <row r="97" spans="2:16">
      <c r="B97" s="451"/>
      <c r="C97" s="452"/>
      <c r="D97" s="558">
        <f>IF(P95=99,0,IF(P95=0,H96/MAX(H90:H94),IF(P95=1,(H96-(O95-$I$6))/H96,0)))</f>
        <v>0</v>
      </c>
      <c r="E97" s="448" t="str">
        <f>Textes!A292</f>
        <v>Umtriebe</v>
      </c>
      <c r="F97" s="448"/>
      <c r="G97" s="447"/>
      <c r="H97" s="448">
        <f>IF(B99&lt;&gt;0,(B99-O95),0)</f>
        <v>0</v>
      </c>
      <c r="I97" s="438" t="str">
        <f>Textes!A294</f>
        <v>Tage Stall leer</v>
      </c>
      <c r="J97" s="447"/>
      <c r="K97" s="448"/>
      <c r="L97" s="450"/>
      <c r="M97" s="437"/>
      <c r="N97" s="439"/>
    </row>
    <row r="98" spans="2:16" ht="13.5" thickBot="1">
      <c r="B98" s="431" t="str">
        <f>Textes!A280</f>
        <v>Umtrieb 9</v>
      </c>
      <c r="C98" s="432"/>
      <c r="D98" s="433"/>
      <c r="E98" s="433"/>
      <c r="F98" s="433"/>
      <c r="G98" s="433"/>
      <c r="H98" s="433"/>
      <c r="I98" s="434"/>
      <c r="J98" s="435"/>
      <c r="K98" s="433"/>
      <c r="L98" s="436"/>
      <c r="M98" s="437"/>
      <c r="N98" s="439"/>
    </row>
    <row r="99" spans="2:16" ht="13.5" thickBot="1">
      <c r="B99" s="489"/>
      <c r="C99" s="569">
        <f t="shared" ref="C99:C104" si="9">YEAR(B99)</f>
        <v>1900</v>
      </c>
      <c r="D99" s="490"/>
      <c r="E99" s="437" t="str">
        <f>Textes!A284</f>
        <v>Einstallung</v>
      </c>
      <c r="F99" s="551">
        <f>D99*0.04</f>
        <v>0</v>
      </c>
      <c r="G99" s="437">
        <f>IF(D99&gt;0,D99,0)</f>
        <v>0</v>
      </c>
      <c r="H99" s="437"/>
      <c r="I99" s="438"/>
      <c r="J99" s="439"/>
      <c r="K99" s="437"/>
      <c r="L99" s="440"/>
      <c r="M99" s="560">
        <f>IF(OR(B99="",D99=""),0,IF((I$6-B99)=0,1,H99+(I$6-B99)))</f>
        <v>0</v>
      </c>
      <c r="N99" s="561">
        <f>IF(D99="",0,VLOOKUP(M99,Faktoren!$B$16:$D$55,2)/1000)</f>
        <v>0</v>
      </c>
    </row>
    <row r="100" spans="2:16">
      <c r="B100" s="489"/>
      <c r="C100" s="569">
        <f t="shared" si="9"/>
        <v>1900</v>
      </c>
      <c r="D100" s="491"/>
      <c r="E100" s="437" t="str">
        <f>Textes!A285</f>
        <v>1. Schlachtung</v>
      </c>
      <c r="F100" s="491"/>
      <c r="G100" s="437">
        <f>IF(D99-D100&gt;0,D99-D100,0)</f>
        <v>0</v>
      </c>
      <c r="H100" s="437">
        <f>IF(AND(D100&gt;0,B100&gt;0),B100-B99+1,0)</f>
        <v>0</v>
      </c>
      <c r="I100" s="441">
        <f>IF(H100&gt;0,IF(H100&gt;Faktoren!$D$5,Faktoren!$E$4,Faktoren!$E$5),0)</f>
        <v>0</v>
      </c>
      <c r="J100" s="439">
        <f>IF(H100&gt;0,D100*I100,0)</f>
        <v>0</v>
      </c>
      <c r="K100" s="437"/>
      <c r="L100" s="440"/>
      <c r="M100" s="560">
        <f>IF(OR(B100="",D100=""),0,H100+(I$6-B100))</f>
        <v>0</v>
      </c>
      <c r="N100" s="561">
        <f>IF(D100="",0,VLOOKUP(M100,Faktoren!$B$16:$D$55,2)/1000)</f>
        <v>0</v>
      </c>
    </row>
    <row r="101" spans="2:16">
      <c r="B101" s="489"/>
      <c r="C101" s="569">
        <f t="shared" si="9"/>
        <v>1900</v>
      </c>
      <c r="D101" s="492"/>
      <c r="E101" s="437" t="str">
        <f>Textes!A286</f>
        <v>2. Schlachtung</v>
      </c>
      <c r="F101" s="492"/>
      <c r="G101" s="437">
        <f>IF(D99-D100-D101&gt;0,D99-D100-D101,0)</f>
        <v>0</v>
      </c>
      <c r="H101" s="437">
        <f>IF(AND(D101&gt;0,B101&gt;0),B101-B99+1,0)</f>
        <v>0</v>
      </c>
      <c r="I101" s="441">
        <f>IF(H101&gt;0,IF(H101&gt;Faktoren!$D$5,Faktoren!$E$4,Faktoren!$E$5),0)</f>
        <v>0</v>
      </c>
      <c r="J101" s="439">
        <f>IF(H101&gt;0,D101*I101,0)</f>
        <v>0</v>
      </c>
      <c r="K101" s="437"/>
      <c r="L101" s="440"/>
      <c r="M101" s="560">
        <f>IF(OR(B101="",D101=""),0,H101+(I$6-B101))</f>
        <v>0</v>
      </c>
      <c r="N101" s="561">
        <f>IF(D101="",0,VLOOKUP(M101,Faktoren!$B$16:$D$55,2)/1000)</f>
        <v>0</v>
      </c>
    </row>
    <row r="102" spans="2:16">
      <c r="B102" s="489"/>
      <c r="C102" s="569">
        <f t="shared" si="9"/>
        <v>1900</v>
      </c>
      <c r="D102" s="492"/>
      <c r="E102" s="437" t="str">
        <f>Textes!A287</f>
        <v>3. Schlachtung</v>
      </c>
      <c r="F102" s="492"/>
      <c r="G102" s="437">
        <f>IF(D99-D100-D101-D102&gt;0,D99-D100-D101-D102,0)</f>
        <v>0</v>
      </c>
      <c r="H102" s="437">
        <f>IF(AND(D102&gt;0,B102&gt;0),B102-B99+1,0)</f>
        <v>0</v>
      </c>
      <c r="I102" s="441">
        <f>IF(H102&gt;0,IF(H102&gt;Faktoren!$D$5,Faktoren!$E$4,Faktoren!$E$5),0)</f>
        <v>0</v>
      </c>
      <c r="J102" s="439">
        <f>IF(H102&gt;0,D102*I102,0)</f>
        <v>0</v>
      </c>
      <c r="K102" s="437"/>
      <c r="L102" s="440"/>
      <c r="M102" s="560">
        <f>IF(OR(B102="",D102=""),0,H102+(I$6-B102))</f>
        <v>0</v>
      </c>
      <c r="N102" s="561">
        <f>IF(D102="",0,VLOOKUP(M102,Faktoren!$B$16:$D$55,2)/1000)</f>
        <v>0</v>
      </c>
    </row>
    <row r="103" spans="2:16">
      <c r="B103" s="489"/>
      <c r="C103" s="569">
        <f t="shared" si="9"/>
        <v>1900</v>
      </c>
      <c r="D103" s="492"/>
      <c r="E103" s="437" t="str">
        <f>Textes!A288</f>
        <v>4. Schlachtung</v>
      </c>
      <c r="F103" s="492"/>
      <c r="G103" s="437">
        <f>IF(D99-D100-D101-D102-D103&gt;0,D99-D100-D101-D102-D103,0)</f>
        <v>0</v>
      </c>
      <c r="H103" s="437">
        <f>IF(AND(D103&gt;0,B103&gt;0),B103-B99+1,0)</f>
        <v>0</v>
      </c>
      <c r="I103" s="441">
        <f>IF(H103&gt;0,IF(H103&gt;Faktoren!$D$5,Faktoren!$E$4,Faktoren!$E$5),0)</f>
        <v>0</v>
      </c>
      <c r="J103" s="439">
        <f>IF(H103&gt;0,D103*I103,0)</f>
        <v>0</v>
      </c>
      <c r="K103" s="437"/>
      <c r="L103" s="440"/>
      <c r="M103" s="560">
        <f>IF(OR(B103="",D103=""),0,H103+(I$6-B103))</f>
        <v>0</v>
      </c>
      <c r="N103" s="561">
        <f>IF(D103="",0,VLOOKUP(M103,Faktoren!$B$16:$D$55,2)/1000)</f>
        <v>0</v>
      </c>
    </row>
    <row r="104" spans="2:16" ht="13.5" thickBot="1">
      <c r="B104" s="489"/>
      <c r="C104" s="569">
        <f t="shared" si="9"/>
        <v>1900</v>
      </c>
      <c r="D104" s="492"/>
      <c r="E104" s="437" t="str">
        <f>Textes!A289</f>
        <v>5. Schlachtung</v>
      </c>
      <c r="F104" s="492"/>
      <c r="G104" s="437">
        <f>IF(D99-D100-D101-D102-D103-D104&gt;0,D99-D100-D101-D102-D103-D104,0)</f>
        <v>0</v>
      </c>
      <c r="H104" s="437">
        <f>IF(AND(D104&gt;0,B104&gt;0),B104-B99+1,0)</f>
        <v>0</v>
      </c>
      <c r="I104" s="441">
        <f>IF(H104&gt;0,IF(H104&gt;Faktoren!$D$5,Faktoren!$E$4,Faktoren!$E$5),0)</f>
        <v>0</v>
      </c>
      <c r="J104" s="439">
        <f>IF(H104&gt;0,D104*I104,0)</f>
        <v>0</v>
      </c>
      <c r="K104" s="437"/>
      <c r="L104" s="440"/>
      <c r="M104" s="560">
        <f>IF(OR(B104="",D104=""),0,H104+(I$6-B104))</f>
        <v>0</v>
      </c>
      <c r="N104" s="561">
        <f>IF(D104="",0,VLOOKUP(M104,Faktoren!$B$16:$D$55,2)/1000)</f>
        <v>0</v>
      </c>
    </row>
    <row r="105" spans="2:16" ht="13.5" thickBot="1">
      <c r="B105" s="482" t="str">
        <f>E105</f>
        <v>Abgänge</v>
      </c>
      <c r="C105" s="442"/>
      <c r="D105" s="437">
        <f>+D99-SUM(D100:D104)</f>
        <v>0</v>
      </c>
      <c r="E105" s="437" t="str">
        <f>Textes!A290</f>
        <v>Abgänge</v>
      </c>
      <c r="F105" s="492">
        <f>D105*0.6</f>
        <v>0</v>
      </c>
      <c r="G105" s="437"/>
      <c r="H105" s="437"/>
      <c r="I105" s="438">
        <f>IF(D105&gt;0,Faktoren!$E$7,0)</f>
        <v>0</v>
      </c>
      <c r="J105" s="439">
        <f>IF(D105&gt;0,D105*I105,0)</f>
        <v>0</v>
      </c>
      <c r="K105" s="443">
        <f>SUM(J100:J105)</f>
        <v>0</v>
      </c>
      <c r="L105" s="440"/>
      <c r="M105" s="560">
        <f>IF(MAX(B99:B104)&lt;$I$6,0,VLOOKUP($I$6,B99:G104,6))</f>
        <v>0</v>
      </c>
      <c r="N105" s="454"/>
      <c r="O105" s="557">
        <f>MAX(B99:B104)</f>
        <v>0</v>
      </c>
      <c r="P105" s="553">
        <f>IF(OR($F$6="",I$6="",O105&lt;F$6),99,IF(AND(O105&gt;F$6,O105&lt;I$6),0,1))</f>
        <v>99</v>
      </c>
    </row>
    <row r="106" spans="2:16">
      <c r="B106" s="444"/>
      <c r="C106" s="439"/>
      <c r="D106" s="439">
        <f>IF(D99&gt;0,ROUND(+D105/D99*100,1),0)</f>
        <v>0</v>
      </c>
      <c r="E106" s="437" t="str">
        <f>Textes!A291</f>
        <v>Abgänge in %</v>
      </c>
      <c r="F106" s="437"/>
      <c r="G106" s="445" t="s">
        <v>830</v>
      </c>
      <c r="H106" s="437">
        <f>MAX(H99:H104)</f>
        <v>0</v>
      </c>
      <c r="I106" s="438" t="str">
        <f>Textes!A293</f>
        <v>Tage Stall belegt</v>
      </c>
      <c r="J106" s="439"/>
      <c r="K106" s="437"/>
      <c r="L106" s="440"/>
      <c r="M106" s="437"/>
      <c r="N106" s="553">
        <f>IF(P105=1,$I$6-B99+1,H106)</f>
        <v>0</v>
      </c>
    </row>
    <row r="107" spans="2:16">
      <c r="B107" s="451"/>
      <c r="C107" s="452"/>
      <c r="D107" s="558">
        <f>IF(P105=99,0,IF(P105=0,H106/MAX(H100:H104),IF(P105=1,(H106-(O105-$I$6))/H106,0)))</f>
        <v>0</v>
      </c>
      <c r="E107" s="448" t="str">
        <f>Textes!A292</f>
        <v>Umtriebe</v>
      </c>
      <c r="F107" s="448"/>
      <c r="G107" s="447"/>
      <c r="H107" s="448">
        <f>IF(B109&lt;&gt;0,(B109-O105),0)</f>
        <v>0</v>
      </c>
      <c r="I107" s="438" t="str">
        <f>Textes!A294</f>
        <v>Tage Stall leer</v>
      </c>
      <c r="J107" s="447"/>
      <c r="K107" s="448"/>
      <c r="L107" s="450"/>
      <c r="M107" s="437"/>
      <c r="N107" s="439"/>
    </row>
    <row r="108" spans="2:16" ht="13.5" thickBot="1">
      <c r="B108" s="431" t="str">
        <f>Textes!A281</f>
        <v>Umtrieb 10</v>
      </c>
      <c r="C108" s="432"/>
      <c r="D108" s="433"/>
      <c r="E108" s="433"/>
      <c r="F108" s="433"/>
      <c r="G108" s="433"/>
      <c r="H108" s="433"/>
      <c r="I108" s="434"/>
      <c r="J108" s="435"/>
      <c r="K108" s="433"/>
      <c r="L108" s="436"/>
      <c r="M108" s="437"/>
      <c r="N108" s="439"/>
    </row>
    <row r="109" spans="2:16" ht="13.5" thickBot="1">
      <c r="B109" s="489"/>
      <c r="C109" s="569">
        <f t="shared" ref="C109:C114" si="10">YEAR(B109)</f>
        <v>1900</v>
      </c>
      <c r="D109" s="490"/>
      <c r="E109" s="437" t="str">
        <f>Textes!A284</f>
        <v>Einstallung</v>
      </c>
      <c r="F109" s="551">
        <f>D109*0.04</f>
        <v>0</v>
      </c>
      <c r="G109" s="437">
        <f>IF(D109&gt;0,D109,0)</f>
        <v>0</v>
      </c>
      <c r="H109" s="437"/>
      <c r="I109" s="438"/>
      <c r="J109" s="439"/>
      <c r="K109" s="437"/>
      <c r="L109" s="440"/>
      <c r="M109" s="560">
        <f>IF(OR(B109="",D109=""),0,IF((I$6-B109)=0,1,H109+(I$6-B109)))</f>
        <v>0</v>
      </c>
      <c r="N109" s="561">
        <f>IF(D109="",0,VLOOKUP(M109,Faktoren!$B$16:$D$55,2)/1000)</f>
        <v>0</v>
      </c>
    </row>
    <row r="110" spans="2:16">
      <c r="B110" s="489"/>
      <c r="C110" s="569">
        <f t="shared" si="10"/>
        <v>1900</v>
      </c>
      <c r="D110" s="491"/>
      <c r="E110" s="437" t="str">
        <f>Textes!A285</f>
        <v>1. Schlachtung</v>
      </c>
      <c r="F110" s="491"/>
      <c r="G110" s="437">
        <f>IF(D109-D110&gt;0,D109-D110,0)</f>
        <v>0</v>
      </c>
      <c r="H110" s="437">
        <f>IF(AND(D110&gt;0,B110&gt;0),B110-B109+1,0)</f>
        <v>0</v>
      </c>
      <c r="I110" s="441">
        <f>IF(H110&gt;0,IF(H110&gt;Faktoren!$D$5,Faktoren!$E$4,Faktoren!$E$5),0)</f>
        <v>0</v>
      </c>
      <c r="J110" s="439">
        <f>IF(H110&gt;0,D110*I110,0)</f>
        <v>0</v>
      </c>
      <c r="K110" s="437"/>
      <c r="L110" s="440"/>
      <c r="M110" s="560">
        <f>IF(OR(B110="",D110=""),0,H110+(I$6-B110))</f>
        <v>0</v>
      </c>
      <c r="N110" s="561">
        <f>IF(D110="",0,VLOOKUP(M110,Faktoren!$B$16:$D$55,2)/1000)</f>
        <v>0</v>
      </c>
    </row>
    <row r="111" spans="2:16">
      <c r="B111" s="489"/>
      <c r="C111" s="569">
        <f t="shared" si="10"/>
        <v>1900</v>
      </c>
      <c r="D111" s="492"/>
      <c r="E111" s="437" t="str">
        <f>Textes!A286</f>
        <v>2. Schlachtung</v>
      </c>
      <c r="F111" s="492"/>
      <c r="G111" s="437">
        <f>IF(D109-D110-D111&gt;0,D109-D110-D111,0)</f>
        <v>0</v>
      </c>
      <c r="H111" s="437">
        <f>IF(AND(D111&gt;0,B111&gt;0),B111-B109+1,0)</f>
        <v>0</v>
      </c>
      <c r="I111" s="441">
        <f>IF(H111&gt;0,IF(H111&gt;Faktoren!$D$5,Faktoren!$E$4,Faktoren!$E$5),0)</f>
        <v>0</v>
      </c>
      <c r="J111" s="439">
        <f>IF(H111&gt;0,D111*I111,0)</f>
        <v>0</v>
      </c>
      <c r="K111" s="437"/>
      <c r="L111" s="440"/>
      <c r="M111" s="560">
        <f>IF(OR(B111="",D111=""),0,H111+(I$6-B111))</f>
        <v>0</v>
      </c>
      <c r="N111" s="561">
        <f>IF(D111="",0,VLOOKUP(M111,Faktoren!$B$16:$D$55,2)/1000)</f>
        <v>0</v>
      </c>
    </row>
    <row r="112" spans="2:16">
      <c r="B112" s="489"/>
      <c r="C112" s="569">
        <f t="shared" si="10"/>
        <v>1900</v>
      </c>
      <c r="D112" s="492"/>
      <c r="E112" s="437" t="str">
        <f>Textes!A287</f>
        <v>3. Schlachtung</v>
      </c>
      <c r="F112" s="492"/>
      <c r="G112" s="437">
        <f>IF(D109-D110-D111-D112&gt;0,D109-D110-D111-D112,0)</f>
        <v>0</v>
      </c>
      <c r="H112" s="437">
        <f>IF(AND(D112&gt;0,B112&gt;0),B112-B109+1,0)</f>
        <v>0</v>
      </c>
      <c r="I112" s="441">
        <f>IF(H112&gt;0,IF(H112&gt;Faktoren!$D$5,Faktoren!$E$4,Faktoren!$E$5),0)</f>
        <v>0</v>
      </c>
      <c r="J112" s="439">
        <f>IF(H112&gt;0,D112*I112,0)</f>
        <v>0</v>
      </c>
      <c r="K112" s="437"/>
      <c r="L112" s="440"/>
      <c r="M112" s="560">
        <f>IF(OR(B112="",D112=""),0,H112+(I$6-B112))</f>
        <v>0</v>
      </c>
      <c r="N112" s="561">
        <f>IF(D112="",0,VLOOKUP(M112,Faktoren!$B$16:$D$55,2)/1000)</f>
        <v>0</v>
      </c>
    </row>
    <row r="113" spans="2:16">
      <c r="B113" s="489"/>
      <c r="C113" s="569">
        <f t="shared" si="10"/>
        <v>1900</v>
      </c>
      <c r="D113" s="492"/>
      <c r="E113" s="437" t="str">
        <f>Textes!A288</f>
        <v>4. Schlachtung</v>
      </c>
      <c r="F113" s="492"/>
      <c r="G113" s="437">
        <f>IF(D109-D110-D111-D112-D113&gt;0,D109-D110-D111-D112-D113,0)</f>
        <v>0</v>
      </c>
      <c r="H113" s="437">
        <f>IF(AND(D113&gt;0,B113&gt;0),B113-B109+1,0)</f>
        <v>0</v>
      </c>
      <c r="I113" s="441">
        <f>IF(H113&gt;0,IF(H113&gt;Faktoren!$D$5,Faktoren!$E$4,Faktoren!$E$5),0)</f>
        <v>0</v>
      </c>
      <c r="J113" s="439">
        <f>IF(H113&gt;0,D113*I113,0)</f>
        <v>0</v>
      </c>
      <c r="K113" s="437"/>
      <c r="L113" s="440"/>
      <c r="M113" s="560">
        <f>IF(OR(B113="",D113=""),0,H113+(I$6-B113))</f>
        <v>0</v>
      </c>
      <c r="N113" s="561">
        <f>IF(D113="",0,VLOOKUP(M113,Faktoren!$B$16:$D$55,2)/1000)</f>
        <v>0</v>
      </c>
    </row>
    <row r="114" spans="2:16" ht="13.5" thickBot="1">
      <c r="B114" s="489"/>
      <c r="C114" s="569">
        <f t="shared" si="10"/>
        <v>1900</v>
      </c>
      <c r="D114" s="492"/>
      <c r="E114" s="437" t="str">
        <f>Textes!A289</f>
        <v>5. Schlachtung</v>
      </c>
      <c r="F114" s="492"/>
      <c r="G114" s="437">
        <f>IF(D109-D110-D111-D112-D113-D114&gt;0,D109-D110-D111-D112-D113-D114,0)</f>
        <v>0</v>
      </c>
      <c r="H114" s="437">
        <f>IF(AND(D114&gt;0,B114&gt;0),B114-B109+1,0)</f>
        <v>0</v>
      </c>
      <c r="I114" s="441">
        <f>IF(H114&gt;0,IF(H114&gt;Faktoren!$D$5,Faktoren!$E$4,Faktoren!$E$5),0)</f>
        <v>0</v>
      </c>
      <c r="J114" s="439">
        <f>IF(H114&gt;0,D114*I114,0)</f>
        <v>0</v>
      </c>
      <c r="K114" s="437"/>
      <c r="L114" s="440"/>
      <c r="M114" s="560">
        <f>IF(OR(B114="",D114=""),0,H114+(I$6-B114))</f>
        <v>0</v>
      </c>
      <c r="N114" s="561">
        <f>IF(D114="",0,VLOOKUP(M114,Faktoren!$B$16:$D$55,2)/1000)</f>
        <v>0</v>
      </c>
    </row>
    <row r="115" spans="2:16" ht="13.5" thickBot="1">
      <c r="B115" s="482" t="str">
        <f>E115</f>
        <v>Abgänge</v>
      </c>
      <c r="C115" s="442"/>
      <c r="D115" s="437">
        <f>+D109-SUM(D110:D114)</f>
        <v>0</v>
      </c>
      <c r="E115" s="437" t="str">
        <f>Textes!A290</f>
        <v>Abgänge</v>
      </c>
      <c r="F115" s="492">
        <f>D115*0.6</f>
        <v>0</v>
      </c>
      <c r="G115" s="437"/>
      <c r="H115" s="437"/>
      <c r="I115" s="438">
        <f>IF(D115&gt;0,Faktoren!$E$7,0)</f>
        <v>0</v>
      </c>
      <c r="J115" s="439">
        <f>IF(D115&gt;0,D115*I115,0)</f>
        <v>0</v>
      </c>
      <c r="K115" s="443">
        <f>SUM(J110:J115)</f>
        <v>0</v>
      </c>
      <c r="L115" s="440"/>
      <c r="M115" s="560">
        <f>IF(MAX(B109:B114)&lt;$I$6,0,VLOOKUP($I$6,B109:G114,6))</f>
        <v>0</v>
      </c>
      <c r="N115" s="454"/>
      <c r="O115" s="557">
        <f>MAX(B109:B114)</f>
        <v>0</v>
      </c>
      <c r="P115" s="553">
        <f>IF(OR($F$6="",I$6="",O115&lt;F$6),99,IF(AND(O115&gt;F$6,O115&lt;I$6),0,1))</f>
        <v>99</v>
      </c>
    </row>
    <row r="116" spans="2:16">
      <c r="B116" s="444"/>
      <c r="C116" s="439"/>
      <c r="D116" s="439">
        <f>IF(D109&gt;0,ROUND(+D115/D109*100,1),0)</f>
        <v>0</v>
      </c>
      <c r="E116" s="437" t="str">
        <f>Textes!A291</f>
        <v>Abgänge in %</v>
      </c>
      <c r="F116" s="437"/>
      <c r="G116" s="445" t="s">
        <v>830</v>
      </c>
      <c r="H116" s="437">
        <f>MAX(H109:H114)</f>
        <v>0</v>
      </c>
      <c r="I116" s="438" t="str">
        <f>Textes!A293</f>
        <v>Tage Stall belegt</v>
      </c>
      <c r="J116" s="439"/>
      <c r="K116" s="437"/>
      <c r="L116" s="440"/>
      <c r="M116" s="437"/>
      <c r="N116" s="553">
        <f>IF(P115=1,$I$6-B109+1,H116)</f>
        <v>0</v>
      </c>
    </row>
    <row r="117" spans="2:16">
      <c r="B117" s="451"/>
      <c r="C117" s="452"/>
      <c r="D117" s="558">
        <f>IF(P115=99,0,IF(P115=0,H116/MAX(H110:H114),IF(P115=1,(H116-(O115-$I$6))/H116,0)))</f>
        <v>0</v>
      </c>
      <c r="E117" s="448" t="str">
        <f>Textes!A292</f>
        <v>Umtriebe</v>
      </c>
      <c r="F117" s="448"/>
      <c r="G117" s="447"/>
      <c r="H117" s="448">
        <f>IF(B119&lt;&gt;0,(B119-O115),0)</f>
        <v>0</v>
      </c>
      <c r="I117" s="438" t="str">
        <f>Textes!A294</f>
        <v>Tage Stall leer</v>
      </c>
      <c r="J117" s="447"/>
      <c r="K117" s="448"/>
      <c r="L117" s="450"/>
      <c r="M117" s="437"/>
      <c r="N117" s="439"/>
    </row>
    <row r="118" spans="2:16" ht="13.5" thickBot="1">
      <c r="B118" s="431" t="str">
        <f>Textes!A282</f>
        <v>Umtrieb 11</v>
      </c>
      <c r="C118" s="432"/>
      <c r="D118" s="433"/>
      <c r="E118" s="433"/>
      <c r="F118" s="433"/>
      <c r="G118" s="433"/>
      <c r="H118" s="433"/>
      <c r="I118" s="434"/>
      <c r="J118" s="435"/>
      <c r="K118" s="433"/>
      <c r="L118" s="436"/>
      <c r="M118" s="437"/>
      <c r="N118" s="439"/>
    </row>
    <row r="119" spans="2:16" ht="13.5" thickBot="1">
      <c r="B119" s="489"/>
      <c r="C119" s="569">
        <f t="shared" ref="C119:C124" si="11">YEAR(B119)</f>
        <v>1900</v>
      </c>
      <c r="D119" s="490"/>
      <c r="E119" s="437" t="str">
        <f>Textes!A284</f>
        <v>Einstallung</v>
      </c>
      <c r="F119" s="551">
        <f>D119*0.04</f>
        <v>0</v>
      </c>
      <c r="G119" s="437">
        <f>IF(D119&gt;0,D119,0)</f>
        <v>0</v>
      </c>
      <c r="H119" s="437"/>
      <c r="I119" s="438"/>
      <c r="J119" s="439"/>
      <c r="K119" s="437"/>
      <c r="L119" s="440"/>
      <c r="M119" s="560">
        <f>IF(OR(B119="",D119=""),0,IF((I$6-B119)=0,1,H119+(I$6-B119)))</f>
        <v>0</v>
      </c>
      <c r="N119" s="561">
        <f>IF(D119="",0,VLOOKUP(M119,Faktoren!$B$16:$D$55,2)/1000)</f>
        <v>0</v>
      </c>
    </row>
    <row r="120" spans="2:16">
      <c r="B120" s="489"/>
      <c r="C120" s="569">
        <f t="shared" si="11"/>
        <v>1900</v>
      </c>
      <c r="D120" s="491"/>
      <c r="E120" s="437" t="str">
        <f>Textes!A285</f>
        <v>1. Schlachtung</v>
      </c>
      <c r="F120" s="491"/>
      <c r="G120" s="437">
        <f>IF(D119-D120&gt;0,D119-D120,0)</f>
        <v>0</v>
      </c>
      <c r="H120" s="437">
        <f>IF(AND(D120&gt;0,B120&gt;0),B120-B119+1,0)</f>
        <v>0</v>
      </c>
      <c r="I120" s="441">
        <f>IF(H120&gt;0,IF(H120&gt;Faktoren!$D$5,Faktoren!$E$4,Faktoren!$E$5),0)</f>
        <v>0</v>
      </c>
      <c r="J120" s="439">
        <f>IF(H120&gt;0,D120*I120,0)</f>
        <v>0</v>
      </c>
      <c r="K120" s="437"/>
      <c r="L120" s="440"/>
      <c r="M120" s="560">
        <f>IF(OR(B120="",D120=""),0,H120+(I$6-B120))</f>
        <v>0</v>
      </c>
      <c r="N120" s="561">
        <f>IF(D120="",0,VLOOKUP(M120,Faktoren!$B$16:$D$55,2)/1000)</f>
        <v>0</v>
      </c>
    </row>
    <row r="121" spans="2:16">
      <c r="B121" s="489"/>
      <c r="C121" s="569">
        <f t="shared" si="11"/>
        <v>1900</v>
      </c>
      <c r="D121" s="492"/>
      <c r="E121" s="437" t="str">
        <f>Textes!A286</f>
        <v>2. Schlachtung</v>
      </c>
      <c r="F121" s="492"/>
      <c r="G121" s="437">
        <f>IF(D119-D120-D121&gt;0,D119-D120-D121,0)</f>
        <v>0</v>
      </c>
      <c r="H121" s="437">
        <f>IF(AND(D121&gt;0,B121&gt;0),B121-B119+1,0)</f>
        <v>0</v>
      </c>
      <c r="I121" s="441">
        <f>IF(H121&gt;0,IF(H121&gt;Faktoren!$D$5,Faktoren!$E$4,Faktoren!$E$5),0)</f>
        <v>0</v>
      </c>
      <c r="J121" s="439">
        <f>IF(H121&gt;0,D121*I121,0)</f>
        <v>0</v>
      </c>
      <c r="K121" s="437"/>
      <c r="L121" s="440"/>
      <c r="M121" s="560">
        <f>IF(OR(B121="",D121=""),0,H121+(I$6-B121))</f>
        <v>0</v>
      </c>
      <c r="N121" s="561">
        <f>IF(D121="",0,VLOOKUP(M121,Faktoren!$B$16:$D$55,2)/1000)</f>
        <v>0</v>
      </c>
    </row>
    <row r="122" spans="2:16">
      <c r="B122" s="489"/>
      <c r="C122" s="569">
        <f t="shared" si="11"/>
        <v>1900</v>
      </c>
      <c r="D122" s="492"/>
      <c r="E122" s="437" t="str">
        <f>Textes!A287</f>
        <v>3. Schlachtung</v>
      </c>
      <c r="F122" s="492"/>
      <c r="G122" s="437">
        <f>IF(D119-D120-D121-D122&gt;0,D119-D120-D121-D122,0)</f>
        <v>0</v>
      </c>
      <c r="H122" s="437">
        <f>IF(AND(D122&gt;0,B122&gt;0),B122-B119+1,0)</f>
        <v>0</v>
      </c>
      <c r="I122" s="441">
        <f>IF(H122&gt;0,IF(H122&gt;Faktoren!$D$5,Faktoren!$E$4,Faktoren!$E$5),0)</f>
        <v>0</v>
      </c>
      <c r="J122" s="439">
        <f>IF(H122&gt;0,D122*I122,0)</f>
        <v>0</v>
      </c>
      <c r="K122" s="437"/>
      <c r="L122" s="440"/>
      <c r="M122" s="560">
        <f>IF(OR(B122="",D122=""),0,H122+(I$6-B122))</f>
        <v>0</v>
      </c>
      <c r="N122" s="561">
        <f>IF(D122="",0,VLOOKUP(M122,Faktoren!$B$16:$D$55,2)/1000)</f>
        <v>0</v>
      </c>
    </row>
    <row r="123" spans="2:16">
      <c r="B123" s="489"/>
      <c r="C123" s="569">
        <f t="shared" si="11"/>
        <v>1900</v>
      </c>
      <c r="D123" s="492"/>
      <c r="E123" s="437" t="str">
        <f>Textes!A288</f>
        <v>4. Schlachtung</v>
      </c>
      <c r="F123" s="492"/>
      <c r="G123" s="437">
        <f>IF(D119-D120-D121-D122-D123&gt;0,D119-D120-D121-D122-D123,0)</f>
        <v>0</v>
      </c>
      <c r="H123" s="437">
        <f>IF(AND(D123&gt;0,B123&gt;0),B123-B119+1,0)</f>
        <v>0</v>
      </c>
      <c r="I123" s="441">
        <f>IF(H123&gt;0,IF(H123&gt;Faktoren!$D$5,Faktoren!$E$4,Faktoren!$E$5),0)</f>
        <v>0</v>
      </c>
      <c r="J123" s="439">
        <f>IF(H123&gt;0,D123*I123,0)</f>
        <v>0</v>
      </c>
      <c r="K123" s="437"/>
      <c r="L123" s="440"/>
      <c r="M123" s="560">
        <f>IF(OR(B123="",D123=""),0,H123+(I$6-B123))</f>
        <v>0</v>
      </c>
      <c r="N123" s="561">
        <f>IF(D123="",0,VLOOKUP(M123,Faktoren!$B$16:$D$55,2)/1000)</f>
        <v>0</v>
      </c>
    </row>
    <row r="124" spans="2:16" ht="13.5" thickBot="1">
      <c r="B124" s="489"/>
      <c r="C124" s="569">
        <f t="shared" si="11"/>
        <v>1900</v>
      </c>
      <c r="D124" s="492"/>
      <c r="E124" s="437" t="str">
        <f>Textes!A289</f>
        <v>5. Schlachtung</v>
      </c>
      <c r="F124" s="492"/>
      <c r="G124" s="437">
        <f>IF(D119-D120-D121-D122-D123-D124&gt;0,D119-D120-D121-D122-D123-D124,0)</f>
        <v>0</v>
      </c>
      <c r="H124" s="437">
        <f>IF(AND(D124&gt;0,B124&gt;0),B124-B119+1,0)</f>
        <v>0</v>
      </c>
      <c r="I124" s="441">
        <f>IF(H124&gt;0,IF(H124&gt;Faktoren!$D$5,Faktoren!$E$4,Faktoren!$E$5),0)</f>
        <v>0</v>
      </c>
      <c r="J124" s="439">
        <f>IF(H124&gt;0,D124*I124,0)</f>
        <v>0</v>
      </c>
      <c r="K124" s="437"/>
      <c r="L124" s="440"/>
      <c r="M124" s="560">
        <f>IF(OR(B124="",D124=""),0,H124+(I$6-B124))</f>
        <v>0</v>
      </c>
      <c r="N124" s="561">
        <f>IF(D124="",0,VLOOKUP(M124,Faktoren!$B$16:$D$55,2)/1000)</f>
        <v>0</v>
      </c>
    </row>
    <row r="125" spans="2:16" ht="13.5" thickBot="1">
      <c r="B125" s="482" t="str">
        <f>E125</f>
        <v>Abgänge</v>
      </c>
      <c r="C125" s="442"/>
      <c r="D125" s="437">
        <f>+D119-SUM(D120:D124)</f>
        <v>0</v>
      </c>
      <c r="E125" s="437" t="str">
        <f>Textes!A290</f>
        <v>Abgänge</v>
      </c>
      <c r="F125" s="492">
        <f>D125*0.6</f>
        <v>0</v>
      </c>
      <c r="G125" s="437"/>
      <c r="H125" s="437"/>
      <c r="I125" s="438">
        <f>IF(D125&gt;0,Faktoren!$E$7,0)</f>
        <v>0</v>
      </c>
      <c r="J125" s="439">
        <f>IF(D125&gt;0,D125*I125,0)</f>
        <v>0</v>
      </c>
      <c r="K125" s="443">
        <f>SUM(J120:J125)</f>
        <v>0</v>
      </c>
      <c r="L125" s="440"/>
      <c r="M125" s="560">
        <f>IF(MAX(B119:B124)&lt;$I$6,0,VLOOKUP($I$6,B119:G124,6))</f>
        <v>0</v>
      </c>
      <c r="N125" s="454"/>
      <c r="O125" s="557">
        <f>MAX(B119:B124)</f>
        <v>0</v>
      </c>
      <c r="P125" s="553">
        <f>IF(OR($F$6="",I$6="",O125&lt;F$6),99,IF(AND(O125&gt;F$6,O125&lt;I$6),0,1))</f>
        <v>99</v>
      </c>
    </row>
    <row r="126" spans="2:16">
      <c r="B126" s="444"/>
      <c r="C126" s="439"/>
      <c r="D126" s="439">
        <f>IF(D119&gt;0,ROUND(+D125/D119*100,1),0)</f>
        <v>0</v>
      </c>
      <c r="E126" s="437" t="str">
        <f>Textes!A291</f>
        <v>Abgänge in %</v>
      </c>
      <c r="F126" s="437"/>
      <c r="G126" s="445" t="s">
        <v>830</v>
      </c>
      <c r="H126" s="437">
        <f>MAX(H119:H124)</f>
        <v>0</v>
      </c>
      <c r="I126" s="438" t="str">
        <f>Textes!A293</f>
        <v>Tage Stall belegt</v>
      </c>
      <c r="J126" s="439"/>
      <c r="K126" s="437"/>
      <c r="L126" s="440"/>
      <c r="N126" s="553">
        <f>IF(P125=1,$I$6-B119+1,H126)</f>
        <v>0</v>
      </c>
    </row>
    <row r="127" spans="2:16">
      <c r="B127" s="451"/>
      <c r="C127" s="452"/>
      <c r="D127" s="558">
        <f>IF(P125=99,0,IF(P125=0,H126/MAX(H120:H124),IF(P125=1,(H126-(O125-$I$6))/H126,0)))</f>
        <v>0</v>
      </c>
      <c r="E127" s="448" t="str">
        <f>Textes!A292</f>
        <v>Umtriebe</v>
      </c>
      <c r="F127" s="448"/>
      <c r="G127" s="447"/>
      <c r="H127" s="448">
        <f>IF(B131&lt;&gt;0,(B131-O125),0)</f>
        <v>0</v>
      </c>
      <c r="I127" s="449" t="str">
        <f>Textes!A294</f>
        <v>Tage Stall leer</v>
      </c>
      <c r="J127" s="447"/>
      <c r="K127" s="448"/>
      <c r="L127" s="450"/>
    </row>
    <row r="128" spans="2:16">
      <c r="B128" s="442" t="str">
        <f>Textes!A253</f>
        <v>Stall 3</v>
      </c>
      <c r="C128" s="442"/>
      <c r="D128" s="437"/>
      <c r="E128" s="437"/>
      <c r="F128" s="437"/>
      <c r="G128" s="439"/>
      <c r="H128" s="437"/>
      <c r="I128" s="438"/>
      <c r="J128" s="439"/>
      <c r="K128" s="445" t="str">
        <f>Textes!A315</f>
        <v>Seite 3</v>
      </c>
      <c r="L128" s="437"/>
    </row>
    <row r="129" spans="2:16">
      <c r="B129" s="442"/>
      <c r="C129" s="442"/>
      <c r="D129" s="437"/>
      <c r="E129" s="437"/>
      <c r="F129" s="437"/>
      <c r="G129" s="439"/>
      <c r="H129" s="437"/>
      <c r="I129" s="438"/>
      <c r="J129" s="439"/>
      <c r="K129" s="437"/>
      <c r="L129" s="437"/>
    </row>
    <row r="130" spans="2:16" ht="13.5" thickBot="1">
      <c r="B130" s="431" t="str">
        <f>Textes!A283</f>
        <v>Umtrieb 12</v>
      </c>
      <c r="C130" s="432"/>
      <c r="D130" s="433"/>
      <c r="E130" s="433"/>
      <c r="F130" s="433"/>
      <c r="G130" s="433"/>
      <c r="H130" s="433"/>
      <c r="I130" s="434"/>
      <c r="J130" s="435"/>
      <c r="K130" s="433"/>
      <c r="L130" s="436"/>
    </row>
    <row r="131" spans="2:16" ht="13.5" thickBot="1">
      <c r="B131" s="489"/>
      <c r="C131" s="569">
        <f t="shared" ref="C131:C136" si="12">YEAR(B131)</f>
        <v>1900</v>
      </c>
      <c r="D131" s="490"/>
      <c r="E131" s="437" t="str">
        <f>Textes!A284</f>
        <v>Einstallung</v>
      </c>
      <c r="F131" s="551">
        <f>D131*0.04</f>
        <v>0</v>
      </c>
      <c r="G131" s="437">
        <f>IF(D131&gt;0,D131,0)</f>
        <v>0</v>
      </c>
      <c r="H131" s="437"/>
      <c r="I131" s="438"/>
      <c r="J131" s="439"/>
      <c r="K131" s="437"/>
      <c r="L131" s="440"/>
      <c r="M131" s="560">
        <f>IF(OR(B131="",D131=""),0,IF((I$6-B131)=0,1,H131+(I$6-B131)))</f>
        <v>0</v>
      </c>
      <c r="N131" s="561">
        <f>IF(D131="",0,VLOOKUP(M131,Faktoren!$B$16:$D$55,2)/1000)</f>
        <v>0</v>
      </c>
    </row>
    <row r="132" spans="2:16">
      <c r="B132" s="489"/>
      <c r="C132" s="569">
        <f t="shared" si="12"/>
        <v>1900</v>
      </c>
      <c r="D132" s="491"/>
      <c r="E132" s="437" t="str">
        <f>Textes!A285</f>
        <v>1. Schlachtung</v>
      </c>
      <c r="F132" s="491"/>
      <c r="G132" s="437">
        <f>IF(D131-D132&gt;0,D131-D132,0)</f>
        <v>0</v>
      </c>
      <c r="H132" s="437">
        <f>IF(AND(D132&gt;0,B132&gt;0),B132-B131+1,0)</f>
        <v>0</v>
      </c>
      <c r="I132" s="441">
        <f>IF(H132&gt;0,IF(H132&gt;Faktoren!$D$5,Faktoren!$E$4,Faktoren!$E$5),0)</f>
        <v>0</v>
      </c>
      <c r="J132" s="439">
        <f>IF(H132&gt;0,D132*I132,0)</f>
        <v>0</v>
      </c>
      <c r="K132" s="437"/>
      <c r="L132" s="440"/>
      <c r="M132" s="560">
        <f>IF(OR(B132="",D132=""),0,H132+(I$6-B132))</f>
        <v>0</v>
      </c>
      <c r="N132" s="561">
        <f>IF(D132="",0,VLOOKUP(M132,Faktoren!$B$16:$D$55,2)/1000)</f>
        <v>0</v>
      </c>
    </row>
    <row r="133" spans="2:16">
      <c r="B133" s="489"/>
      <c r="C133" s="569">
        <f t="shared" si="12"/>
        <v>1900</v>
      </c>
      <c r="D133" s="492"/>
      <c r="E133" s="437" t="str">
        <f>Textes!A286</f>
        <v>2. Schlachtung</v>
      </c>
      <c r="F133" s="492"/>
      <c r="G133" s="437">
        <f>IF(D131-D132-D133&gt;0,D131-D132-D133,0)</f>
        <v>0</v>
      </c>
      <c r="H133" s="437">
        <f>IF(AND(D133&gt;0,B133&gt;0),B133-B131+1,0)</f>
        <v>0</v>
      </c>
      <c r="I133" s="441">
        <f>IF(H133&gt;0,IF(H133&gt;Faktoren!$D$5,Faktoren!$E$4,Faktoren!$E$5),0)</f>
        <v>0</v>
      </c>
      <c r="J133" s="439">
        <f>IF(H133&gt;0,D133*I133,0)</f>
        <v>0</v>
      </c>
      <c r="K133" s="437"/>
      <c r="L133" s="440"/>
      <c r="M133" s="560">
        <f>IF(OR(B133="",D133=""),0,H133+(I$6-B133))</f>
        <v>0</v>
      </c>
      <c r="N133" s="561">
        <f>IF(D133="",0,VLOOKUP(M133,Faktoren!$B$16:$D$55,2)/1000)</f>
        <v>0</v>
      </c>
    </row>
    <row r="134" spans="2:16">
      <c r="B134" s="489"/>
      <c r="C134" s="569">
        <f t="shared" si="12"/>
        <v>1900</v>
      </c>
      <c r="D134" s="492"/>
      <c r="E134" s="437" t="str">
        <f>Textes!A287</f>
        <v>3. Schlachtung</v>
      </c>
      <c r="F134" s="492"/>
      <c r="G134" s="437">
        <f>IF(D131-D132-D133-D134&gt;0,D131-D132-D133-D134,0)</f>
        <v>0</v>
      </c>
      <c r="H134" s="437">
        <f>IF(AND(D134&gt;0,B134&gt;0),B134-B131+1,0)</f>
        <v>0</v>
      </c>
      <c r="I134" s="441">
        <f>IF(H134&gt;0,IF(H134&gt;Faktoren!$D$5,Faktoren!$E$4,Faktoren!$E$5),0)</f>
        <v>0</v>
      </c>
      <c r="J134" s="439">
        <f>IF(H134&gt;0,D134*I134,0)</f>
        <v>0</v>
      </c>
      <c r="K134" s="437"/>
      <c r="L134" s="440"/>
      <c r="M134" s="560">
        <f>IF(OR(B134="",D134=""),0,H134+(I$6-B134))</f>
        <v>0</v>
      </c>
      <c r="N134" s="561">
        <f>IF(D134="",0,VLOOKUP(M134,Faktoren!$B$16:$D$55,2)/1000)</f>
        <v>0</v>
      </c>
    </row>
    <row r="135" spans="2:16">
      <c r="B135" s="489"/>
      <c r="C135" s="569">
        <f t="shared" si="12"/>
        <v>1900</v>
      </c>
      <c r="D135" s="492"/>
      <c r="E135" s="437" t="str">
        <f>Textes!A288</f>
        <v>4. Schlachtung</v>
      </c>
      <c r="F135" s="492"/>
      <c r="G135" s="437">
        <f>IF(D131-D132-D133-D134-D135&gt;0,D131-D132-D133-D134-D135,0)</f>
        <v>0</v>
      </c>
      <c r="H135" s="437">
        <f>IF(AND(D135&gt;0,B135&gt;0),B135-B131+1,0)</f>
        <v>0</v>
      </c>
      <c r="I135" s="441">
        <f>IF(H135&gt;0,IF(H135&gt;Faktoren!$D$5,Faktoren!$E$4,Faktoren!$E$5),0)</f>
        <v>0</v>
      </c>
      <c r="J135" s="439">
        <f>IF(H135&gt;0,D135*I135,0)</f>
        <v>0</v>
      </c>
      <c r="K135" s="437"/>
      <c r="L135" s="440"/>
      <c r="M135" s="560">
        <f>IF(OR(B135="",D135=""),0,H135+(I$6-B135))</f>
        <v>0</v>
      </c>
      <c r="N135" s="561">
        <f>IF(D135="",0,VLOOKUP(M135,Faktoren!$B$16:$D$55,2)/1000)</f>
        <v>0</v>
      </c>
    </row>
    <row r="136" spans="2:16" ht="13.5" thickBot="1">
      <c r="B136" s="489"/>
      <c r="C136" s="569">
        <f t="shared" si="12"/>
        <v>1900</v>
      </c>
      <c r="D136" s="492"/>
      <c r="E136" s="437" t="str">
        <f>Textes!A289</f>
        <v>5. Schlachtung</v>
      </c>
      <c r="F136" s="492"/>
      <c r="G136" s="437">
        <f>IF(D131-D132-D133-D134-D135-D136&gt;0,D131-D132-D133-D134-D135-D136,0)</f>
        <v>0</v>
      </c>
      <c r="H136" s="437">
        <f>IF(AND(D136&gt;0,B136&gt;0),B136-B131+1,0)</f>
        <v>0</v>
      </c>
      <c r="I136" s="441">
        <f>IF(H136&gt;0,IF(H136&gt;Faktoren!$D$5,Faktoren!$E$4,Faktoren!$E$5),0)</f>
        <v>0</v>
      </c>
      <c r="J136" s="439">
        <f>IF(H136&gt;0,D136*I136,0)</f>
        <v>0</v>
      </c>
      <c r="K136" s="437"/>
      <c r="L136" s="440"/>
      <c r="M136" s="560">
        <f>IF(OR(B136="",D136=""),0,H136+(I$6-B136))</f>
        <v>0</v>
      </c>
      <c r="N136" s="561">
        <f>IF(D136="",0,VLOOKUP(M136,Faktoren!$B$16:$D$55,2)/1000)</f>
        <v>0</v>
      </c>
    </row>
    <row r="137" spans="2:16" ht="13.5" thickBot="1">
      <c r="B137" s="482" t="str">
        <f>E137</f>
        <v>Abgänge</v>
      </c>
      <c r="C137" s="569" t="e">
        <f>Jahr+1</f>
        <v>#VALUE!</v>
      </c>
      <c r="D137" s="437">
        <f>+D131-D132-D133-D136</f>
        <v>0</v>
      </c>
      <c r="E137" s="437" t="str">
        <f>Textes!A290</f>
        <v>Abgänge</v>
      </c>
      <c r="F137" s="492">
        <f>D137*0.6</f>
        <v>0</v>
      </c>
      <c r="G137" s="437"/>
      <c r="H137" s="437"/>
      <c r="I137" s="438">
        <f>IF(D137&gt;0,Faktoren!$E$7,0)</f>
        <v>0</v>
      </c>
      <c r="J137" s="439">
        <f>IF(D137&gt;0,D137*I137,0)</f>
        <v>0</v>
      </c>
      <c r="K137" s="443">
        <f>SUM(J132:J137)</f>
        <v>0</v>
      </c>
      <c r="L137" s="440"/>
      <c r="M137" s="560">
        <f>IF(MAX(B131:B136)&lt;$I$6,0,VLOOKUP($I$6,B131:G136,6))</f>
        <v>0</v>
      </c>
      <c r="N137" s="454"/>
      <c r="O137" s="557">
        <f>MAX(B131:B136)</f>
        <v>0</v>
      </c>
      <c r="P137" s="553">
        <f>IF(OR($F$6="",I$6="",O137&lt;F$6),99,IF(AND(O137&gt;F$6,O137&lt;I$6),0,1))</f>
        <v>99</v>
      </c>
    </row>
    <row r="138" spans="2:16">
      <c r="B138" s="462"/>
      <c r="C138" s="442"/>
      <c r="D138" s="439">
        <f>IF(D131&gt;0,ROUND(+D137/D131*100,1),0)</f>
        <v>0</v>
      </c>
      <c r="E138" s="437" t="str">
        <f>Textes!A291</f>
        <v>Abgänge in %</v>
      </c>
      <c r="F138" s="437"/>
      <c r="G138" s="445" t="s">
        <v>830</v>
      </c>
      <c r="H138" s="437">
        <f>MAX(H131:H136)</f>
        <v>0</v>
      </c>
      <c r="I138" s="438" t="str">
        <f>Textes!A293</f>
        <v>Tage Stall belegt</v>
      </c>
      <c r="J138" s="439"/>
      <c r="K138" s="437"/>
      <c r="L138" s="440"/>
      <c r="N138" s="553">
        <f>IF(P137=1,$I$6-B131+1,H138)</f>
        <v>0</v>
      </c>
    </row>
    <row r="139" spans="2:16">
      <c r="B139" s="451"/>
      <c r="C139" s="452"/>
      <c r="D139" s="558">
        <f>IF(P137=99,0,IF(P137=0,H138/MAX(H132:H136),IF(P137=1,(H138-(O137-$I$6))/H138,0)))</f>
        <v>0</v>
      </c>
      <c r="E139" s="448" t="str">
        <f>Textes!A292</f>
        <v>Umtriebe</v>
      </c>
      <c r="F139" s="448"/>
      <c r="G139" s="455"/>
      <c r="H139" s="448"/>
      <c r="I139" s="449"/>
      <c r="J139" s="447"/>
      <c r="K139" s="455"/>
      <c r="L139" s="450"/>
    </row>
    <row r="140" spans="2:16">
      <c r="B140" s="442"/>
      <c r="C140" s="442"/>
      <c r="D140" s="439"/>
      <c r="E140" s="437"/>
      <c r="F140" s="437"/>
      <c r="G140" s="445"/>
      <c r="H140" s="437"/>
      <c r="I140" s="438"/>
      <c r="J140" s="439"/>
      <c r="K140" s="437"/>
      <c r="L140" s="437"/>
    </row>
    <row r="141" spans="2:16" ht="13.5" thickBot="1">
      <c r="B141" s="456"/>
      <c r="C141" s="456"/>
      <c r="H141" s="437"/>
    </row>
    <row r="142" spans="2:16" ht="13.5" thickBot="1">
      <c r="B142" s="457" t="str">
        <f>Textes!A295</f>
        <v>Durchschnittlicher Bestand in massgebenden Stück</v>
      </c>
      <c r="C142" s="456"/>
      <c r="K142" s="443">
        <f>IF((K137+K125+K115+K105+K95+K85+K75+K63+K53+K43+K33+K23)&gt;0,(K137+K125+K115+K105+K95+K85+K75+K63+K53+K43+K33+K23)/SUM(G144:G155),0)</f>
        <v>0</v>
      </c>
    </row>
    <row r="143" spans="2:16">
      <c r="B143" s="457"/>
      <c r="C143" s="457"/>
      <c r="D143" s="458"/>
      <c r="H143" s="437"/>
      <c r="I143" s="420"/>
    </row>
    <row r="144" spans="2:16" hidden="1">
      <c r="B144" s="459" t="s">
        <v>847</v>
      </c>
      <c r="C144" s="460"/>
      <c r="D144" s="433"/>
      <c r="E144" s="433"/>
      <c r="F144" s="433"/>
      <c r="G144" s="433">
        <f>IF(AND(K23&gt;0,K33&gt;0,K43&gt;0,K53&gt;0,K63&gt;0,K75&gt;0,K85&gt;0,K95&gt;0,K105&gt;0,K115&gt;0,K125&gt;0,K137&gt;0),12,0)</f>
        <v>0</v>
      </c>
      <c r="H144" s="433"/>
      <c r="I144" s="434"/>
      <c r="J144" s="435"/>
      <c r="K144" s="461"/>
    </row>
    <row r="145" spans="2:12" hidden="1">
      <c r="B145" s="462"/>
      <c r="C145" s="442"/>
      <c r="D145" s="437"/>
      <c r="E145" s="437"/>
      <c r="F145" s="437"/>
      <c r="G145" s="437">
        <f>IF(AND(K23&gt;0,K33&gt;0,K43&gt;0,K53&gt;0,K63&gt;0,K75&gt;0,K85&gt;0,K95&gt;0,K105&gt;0,K115&gt;0,K125&gt;0,K137=0),11,0)</f>
        <v>0</v>
      </c>
      <c r="H145" s="437"/>
      <c r="I145" s="438"/>
      <c r="J145" s="439"/>
      <c r="K145" s="463"/>
    </row>
    <row r="146" spans="2:12" hidden="1">
      <c r="B146" s="462"/>
      <c r="C146" s="442"/>
      <c r="D146" s="437"/>
      <c r="E146" s="437"/>
      <c r="F146" s="437"/>
      <c r="G146" s="437">
        <f>IF(AND(K23&gt;0,K33&gt;0,K43&gt;0,K53&gt;0,K63&gt;0,K75&gt;0,K85&gt;0,K95&gt;0,K105&gt;0,K115&gt;0,K125=0,K137=0),10,0)</f>
        <v>0</v>
      </c>
      <c r="H146" s="437"/>
      <c r="I146" s="438"/>
      <c r="J146" s="439"/>
      <c r="K146" s="463"/>
    </row>
    <row r="147" spans="2:12" hidden="1">
      <c r="B147" s="462"/>
      <c r="C147" s="442"/>
      <c r="D147" s="437"/>
      <c r="E147" s="437"/>
      <c r="F147" s="437"/>
      <c r="G147" s="437">
        <f>IF(AND(K23&gt;0,K33&gt;0,K43&gt;0,K53&gt;0,K63&gt;0,K75&gt;0,K85&gt;0,K95&gt;0,K105&gt;0,K115=0,K125=0,K137=0),9,0)</f>
        <v>0</v>
      </c>
      <c r="H147" s="437"/>
      <c r="I147" s="438"/>
      <c r="J147" s="439"/>
      <c r="K147" s="463"/>
    </row>
    <row r="148" spans="2:12" hidden="1">
      <c r="B148" s="462"/>
      <c r="C148" s="442"/>
      <c r="D148" s="437"/>
      <c r="E148" s="437"/>
      <c r="F148" s="437"/>
      <c r="G148" s="437">
        <f>IF(AND(K23&gt;0,K33&gt;0,K43&gt;0,K53&gt;0,K63&gt;0,K75&gt;0,K85&gt;0,K95&gt;0,K105=0,K115=0,K125=0,K137=0),8,0)</f>
        <v>0</v>
      </c>
      <c r="H148" s="437"/>
      <c r="I148" s="438"/>
      <c r="J148" s="439"/>
      <c r="K148" s="463"/>
    </row>
    <row r="149" spans="2:12" hidden="1">
      <c r="B149" s="462"/>
      <c r="C149" s="442"/>
      <c r="D149" s="437"/>
      <c r="E149" s="437"/>
      <c r="F149" s="437"/>
      <c r="G149" s="437">
        <f>IF(AND(K23&gt;0,K33&gt;0,K43&gt;0,K53&gt;0,K63&gt;0,K75&gt;0,K85&gt;0,K95=0,K105=0,K115=0,K125=0,K137=0),7,0)</f>
        <v>0</v>
      </c>
      <c r="H149" s="437"/>
      <c r="I149" s="438"/>
      <c r="J149" s="439"/>
      <c r="K149" s="463"/>
    </row>
    <row r="150" spans="2:12" hidden="1">
      <c r="B150" s="462"/>
      <c r="C150" s="442"/>
      <c r="D150" s="437"/>
      <c r="E150" s="437"/>
      <c r="F150" s="437"/>
      <c r="G150" s="437">
        <f>IF(AND(K23&gt;0,K33&gt;0,K43&gt;0,K53&gt;0,K63&gt;0,K75&gt;0,K85=0,K95=0,K105=0,K115=0,K125=0,K137=0),6,0)</f>
        <v>0</v>
      </c>
      <c r="H150" s="437"/>
      <c r="I150" s="438"/>
      <c r="J150" s="439"/>
      <c r="K150" s="463"/>
    </row>
    <row r="151" spans="2:12" hidden="1">
      <c r="B151" s="462"/>
      <c r="C151" s="442"/>
      <c r="D151" s="437"/>
      <c r="E151" s="437"/>
      <c r="F151" s="437"/>
      <c r="G151" s="437">
        <f>IF(AND(K23&gt;0,K33&gt;0,K43&gt;0,K53&gt;0,K63&gt;0,K75=0,K85=0,K95=0,K105=0,K115=0,K125=0,K137=0),5,0)</f>
        <v>0</v>
      </c>
      <c r="H151" s="437"/>
      <c r="I151" s="438"/>
      <c r="J151" s="439"/>
      <c r="K151" s="463"/>
    </row>
    <row r="152" spans="2:12" hidden="1">
      <c r="B152" s="462"/>
      <c r="C152" s="442"/>
      <c r="D152" s="437"/>
      <c r="E152" s="437"/>
      <c r="F152" s="437"/>
      <c r="G152" s="437">
        <f>IF(AND(K23&gt;0,K33&gt;0,K43&gt;0,K53&gt;0,K63=0,K75=0,K85=0,K95=0,K105=0,K115=0,K125=0,K137=0),4,0)</f>
        <v>0</v>
      </c>
      <c r="H152" s="437"/>
      <c r="I152" s="438"/>
      <c r="J152" s="439"/>
      <c r="K152" s="463"/>
    </row>
    <row r="153" spans="2:12" hidden="1">
      <c r="B153" s="462"/>
      <c r="C153" s="442"/>
      <c r="D153" s="437"/>
      <c r="E153" s="437"/>
      <c r="F153" s="437"/>
      <c r="G153" s="437">
        <f>IF(AND(K23&gt;0,K33&gt;0,K43&gt;0,K53=0,K63=0,K75=0,K85=0,K95=0,K105=0,K115=0,K125=0,K137=0),3,0)</f>
        <v>0</v>
      </c>
      <c r="H153" s="437"/>
      <c r="I153" s="438"/>
      <c r="J153" s="439"/>
      <c r="K153" s="463"/>
    </row>
    <row r="154" spans="2:12" hidden="1">
      <c r="B154" s="462"/>
      <c r="C154" s="442"/>
      <c r="D154" s="437"/>
      <c r="E154" s="437"/>
      <c r="F154" s="437"/>
      <c r="G154" s="437">
        <f>IF(AND(K23&gt;0,K33&gt;0,K43=0,K53=0,K63=0,K75=0,K85=0,K95=0,K105=0,K115=0,K125=0,K137=0),2,0)</f>
        <v>0</v>
      </c>
      <c r="H154" s="437"/>
      <c r="I154" s="438"/>
      <c r="J154" s="439"/>
      <c r="K154" s="463"/>
    </row>
    <row r="155" spans="2:12" hidden="1">
      <c r="B155" s="451"/>
      <c r="C155" s="452"/>
      <c r="D155" s="448"/>
      <c r="E155" s="448"/>
      <c r="F155" s="448"/>
      <c r="G155" s="448">
        <f>IF(AND(K23&gt;0,K33=0,K43=0,K53=0,K63=0,K75=0,K85=0,K95=0,K105=0,K115=0,K125=0,K137=0),1,0)</f>
        <v>0</v>
      </c>
      <c r="H155" s="448"/>
      <c r="I155" s="449"/>
      <c r="J155" s="447"/>
      <c r="K155" s="464"/>
    </row>
    <row r="156" spans="2:12" hidden="1">
      <c r="B156" s="456"/>
      <c r="C156" s="456"/>
      <c r="K156" s="422"/>
      <c r="L156" s="422"/>
    </row>
    <row r="157" spans="2:12" ht="13.5" thickBot="1">
      <c r="B157" s="456"/>
      <c r="C157" s="456"/>
    </row>
    <row r="158" spans="2:12" ht="13.5" thickBot="1">
      <c r="B158" s="457" t="str">
        <f>Textes!A296</f>
        <v>Anzahl Umtriebe</v>
      </c>
      <c r="C158" s="457"/>
      <c r="D158" s="422"/>
      <c r="E158" s="547">
        <f>SUM(D25,D35,D45,D55,D65,D77,D87,D97,D107,D117,D127,D139)</f>
        <v>0</v>
      </c>
      <c r="F158" s="453"/>
      <c r="H158" s="437"/>
      <c r="I158" s="437"/>
      <c r="J158" s="439"/>
    </row>
    <row r="159" spans="2:12" ht="13.5" thickBot="1">
      <c r="B159" s="457"/>
      <c r="C159" s="457"/>
      <c r="D159" s="422"/>
      <c r="E159" s="453"/>
      <c r="F159" s="453"/>
      <c r="H159" s="437"/>
      <c r="I159" s="420"/>
    </row>
    <row r="160" spans="2:12">
      <c r="B160" s="457" t="str">
        <f>Textes!A297</f>
        <v>Belegungsdauer</v>
      </c>
      <c r="C160" s="457"/>
      <c r="D160" s="422"/>
      <c r="E160" s="698">
        <f>IF((H24+H34+H44+H54+H64+H76+H86+H96+H106+H116+H126+H138)&gt;0,(H24+H34+H44+H54+H64+H76+H86+H96+H106+H116+H126+H138)/SUM(G144:G155),0)</f>
        <v>0</v>
      </c>
      <c r="F160" s="458"/>
      <c r="H160" s="420" t="str">
        <f>Textes!A303</f>
        <v>(Durchschnitt, ohne Leerzeit zwischen</v>
      </c>
      <c r="I160" s="420"/>
    </row>
    <row r="161" spans="1:12" ht="13.5" thickBot="1">
      <c r="B161" s="457" t="str">
        <f>Textes!A298</f>
        <v xml:space="preserve"> je Umtrieb</v>
      </c>
      <c r="C161" s="457"/>
      <c r="D161" s="422"/>
      <c r="E161" s="699"/>
      <c r="F161" s="458"/>
      <c r="H161" s="420" t="str">
        <f>Textes!A304</f>
        <v>den Umtrieben)</v>
      </c>
      <c r="I161" s="420"/>
    </row>
    <row r="162" spans="1:12" ht="13.5" thickBot="1">
      <c r="B162" s="457"/>
      <c r="C162" s="457"/>
      <c r="D162" s="422"/>
      <c r="E162" s="458"/>
      <c r="F162" s="458"/>
      <c r="I162" s="420"/>
    </row>
    <row r="163" spans="1:12">
      <c r="B163" s="457" t="str">
        <f>Textes!A299</f>
        <v>Belegungsdauer</v>
      </c>
      <c r="C163" s="457"/>
      <c r="D163" s="697" t="s">
        <v>853</v>
      </c>
      <c r="E163" s="698">
        <f>(N24+N34+N44+N54+N64+N76+N86+N96+N106+N116+N126+N138)</f>
        <v>0</v>
      </c>
      <c r="F163" s="458"/>
      <c r="H163" s="420" t="str">
        <f>Textes!A305</f>
        <v>(Total Tage, ohne Leerzeit zwischen</v>
      </c>
      <c r="I163" s="420"/>
    </row>
    <row r="164" spans="1:12" ht="13.5" thickBot="1">
      <c r="B164" s="457" t="str">
        <f>Textes!A300</f>
        <v>total</v>
      </c>
      <c r="C164" s="457"/>
      <c r="D164" s="697"/>
      <c r="E164" s="699"/>
      <c r="F164" s="458"/>
      <c r="H164" s="420" t="str">
        <f>Textes!A306</f>
        <v>den Umtrieben)</v>
      </c>
      <c r="I164" s="420"/>
    </row>
    <row r="165" spans="1:12" ht="13.5" thickBot="1">
      <c r="B165" s="457"/>
      <c r="C165" s="457"/>
      <c r="D165" s="422"/>
      <c r="E165" s="458"/>
      <c r="F165" s="458"/>
      <c r="I165" s="420"/>
    </row>
    <row r="166" spans="1:12">
      <c r="B166" s="457" t="str">
        <f>Textes!A301</f>
        <v>Minimale jährliche</v>
      </c>
      <c r="C166" s="457"/>
      <c r="D166" s="697" t="s">
        <v>857</v>
      </c>
      <c r="E166" s="700">
        <v>270</v>
      </c>
      <c r="F166" s="465"/>
      <c r="H166" s="420" t="str">
        <f>Textes!A307</f>
        <v>(minimale Belegungsdauer für</v>
      </c>
      <c r="I166" s="420"/>
    </row>
    <row r="167" spans="1:12" ht="13.5" thickBot="1">
      <c r="B167" s="457" t="str">
        <f>Textes!A302</f>
        <v>Belegungsdauer</v>
      </c>
      <c r="C167" s="457"/>
      <c r="D167" s="697"/>
      <c r="E167" s="701"/>
      <c r="F167" s="466"/>
      <c r="H167" s="420" t="str">
        <f>Textes!A308</f>
        <v>für normale Stallnutzung)</v>
      </c>
      <c r="I167" s="420"/>
    </row>
    <row r="168" spans="1:12" ht="13.5" thickBot="1">
      <c r="B168" s="456"/>
      <c r="C168" s="456"/>
    </row>
    <row r="169" spans="1:12" ht="13.5" thickBot="1">
      <c r="A169" s="439"/>
      <c r="B169" s="467"/>
      <c r="C169" s="468"/>
      <c r="D169" s="469"/>
      <c r="E169" s="469"/>
      <c r="F169" s="469"/>
      <c r="G169" s="469"/>
      <c r="H169" s="469"/>
      <c r="I169" s="470"/>
      <c r="J169" s="471"/>
      <c r="K169" s="469"/>
      <c r="L169" s="472"/>
    </row>
    <row r="170" spans="1:12" ht="13.5" thickBot="1">
      <c r="A170" s="439"/>
      <c r="B170" s="473" t="str">
        <f>Textes!A311</f>
        <v>Durchschnittlicher Bestand Stall 3</v>
      </c>
      <c r="C170" s="442"/>
      <c r="D170" s="437"/>
      <c r="E170" s="437"/>
      <c r="F170" s="437"/>
      <c r="G170" s="437"/>
      <c r="H170" s="437"/>
      <c r="I170" s="438"/>
      <c r="J170" s="439"/>
      <c r="K170" s="443">
        <f>IF(E163&gt;=E166,K142,K142/E166*E163)</f>
        <v>0</v>
      </c>
      <c r="L170" s="474"/>
    </row>
    <row r="171" spans="1:12" ht="13.5" thickBot="1">
      <c r="A171" s="439"/>
      <c r="B171" s="475"/>
      <c r="C171" s="476"/>
      <c r="D171" s="477"/>
      <c r="E171" s="477"/>
      <c r="F171" s="477"/>
      <c r="G171" s="477"/>
      <c r="H171" s="477"/>
      <c r="I171" s="478"/>
      <c r="J171" s="479"/>
      <c r="K171" s="477"/>
      <c r="L171" s="480"/>
    </row>
    <row r="172" spans="1:12">
      <c r="A172" s="439"/>
      <c r="B172" s="442" t="str">
        <f>Textes!A312</f>
        <v>entspricht Bestand in GVE</v>
      </c>
      <c r="C172" s="442"/>
      <c r="D172" s="437"/>
      <c r="E172" s="437"/>
      <c r="F172" s="437"/>
      <c r="G172" s="437"/>
      <c r="H172" s="437"/>
      <c r="I172" s="438"/>
      <c r="J172" s="439"/>
      <c r="K172" s="438">
        <f>K170*Faktoren!E10</f>
        <v>0</v>
      </c>
      <c r="L172" s="437"/>
    </row>
    <row r="173" spans="1:12">
      <c r="A173" s="439"/>
      <c r="B173" s="442"/>
      <c r="C173" s="442"/>
      <c r="D173" s="437"/>
      <c r="E173" s="437"/>
      <c r="F173" s="437"/>
      <c r="G173" s="437"/>
      <c r="H173" s="437"/>
      <c r="I173" s="438"/>
      <c r="J173" s="439"/>
      <c r="K173" s="437"/>
      <c r="L173" s="437"/>
    </row>
    <row r="174" spans="1:12" ht="20.25" customHeight="1">
      <c r="B174" s="29" t="str">
        <f>+Textes!A70</f>
        <v>Kantonale Kontrollstelle, Datum:</v>
      </c>
      <c r="C174" s="537"/>
      <c r="D174" s="538"/>
      <c r="E174" s="538"/>
      <c r="F174" s="538"/>
      <c r="G174" s="538"/>
      <c r="H174" s="30" t="str">
        <f>+Textes!A85</f>
        <v>Unterschrift:</v>
      </c>
      <c r="I174" s="539"/>
      <c r="J174" s="540"/>
      <c r="K174" s="541"/>
    </row>
    <row r="175" spans="1:12" ht="4.5" customHeight="1">
      <c r="B175" s="456"/>
      <c r="C175" s="456"/>
    </row>
    <row r="176" spans="1:12" ht="20.25" customHeight="1">
      <c r="B176" s="29" t="str">
        <f>+Textes!A74</f>
        <v>Betriebsleiter, Datum:</v>
      </c>
      <c r="C176" s="540"/>
      <c r="D176" s="538"/>
      <c r="E176" s="538"/>
      <c r="F176" s="538"/>
      <c r="G176" s="538"/>
      <c r="H176" s="30" t="str">
        <f>+Textes!A85</f>
        <v>Unterschrift:</v>
      </c>
      <c r="I176" s="539"/>
      <c r="J176" s="540"/>
      <c r="K176" s="541"/>
    </row>
    <row r="178" spans="2:2">
      <c r="B178" s="481"/>
    </row>
  </sheetData>
  <sheetProtection password="8C69" sheet="1" scenarios="1"/>
  <mergeCells count="5">
    <mergeCell ref="D166:D167"/>
    <mergeCell ref="E160:E161"/>
    <mergeCell ref="E166:E167"/>
    <mergeCell ref="E163:E164"/>
    <mergeCell ref="D163:D164"/>
  </mergeCells>
  <phoneticPr fontId="0" type="noConversion"/>
  <conditionalFormatting sqref="H25 H35 H45 H55 H65 H77 H87 H97 H107 H117 H127">
    <cfRule type="cellIs" dxfId="0" priority="1" stopIfTrue="1" operator="lessThan">
      <formula>0</formula>
    </cfRule>
  </conditionalFormatting>
  <pageMargins left="0.78740157480314965" right="0.6692913385826772" top="0.47244094488188981" bottom="0.47244094488188981" header="0.39370078740157483" footer="0.39370078740157483"/>
  <pageSetup paperSize="9" scale="75" fitToHeight="0" orientation="portrait" r:id="rId1"/>
  <headerFooter alignWithMargins="0">
    <oddFooter>&amp;L&amp;"Arial,Fett"&amp;11AGRIDEA &amp;"Arial,Standard"&amp;9Impex, Version 2.6&amp;R&amp;"Arial,Standard"&amp;9&amp;D / Seite &amp;P</oddFooter>
  </headerFooter>
  <rowBreaks count="2" manualBreakCount="2">
    <brk id="65" max="10" man="1"/>
    <brk id="127"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9" r:id="rId4" name="Butt Aktualisieren">
              <controlPr defaultSize="0" print="0" autoFill="0" autoLine="0" autoPict="0" macro="[0]!Uebertrag">
                <anchor>
                  <from>
                    <xdr:col>5</xdr:col>
                    <xdr:colOff>304800</xdr:colOff>
                    <xdr:row>1</xdr:row>
                    <xdr:rowOff>85725</xdr:rowOff>
                  </from>
                  <to>
                    <xdr:col>8</xdr:col>
                    <xdr:colOff>304800</xdr:colOff>
                    <xdr:row>1</xdr:row>
                    <xdr:rowOff>447675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B1:L43"/>
  <sheetViews>
    <sheetView showGridLines="0" showRowColHeaders="0" showZeros="0" zoomScaleNormal="100" workbookViewId="0">
      <selection activeCell="F6" sqref="F6"/>
    </sheetView>
  </sheetViews>
  <sheetFormatPr baseColWidth="10" defaultColWidth="11.5703125" defaultRowHeight="12.75"/>
  <cols>
    <col min="1" max="1" width="3" style="40" customWidth="1"/>
    <col min="2" max="2" width="6.140625" style="40" customWidth="1"/>
    <col min="3" max="3" width="19.42578125" style="40" customWidth="1"/>
    <col min="4" max="4" width="5.28515625" style="40" customWidth="1"/>
    <col min="5" max="5" width="15.7109375" style="40" customWidth="1"/>
    <col min="6" max="6" width="22.7109375" style="40" customWidth="1"/>
    <col min="7" max="7" width="15.7109375" style="40" customWidth="1"/>
    <col min="8" max="8" width="5.7109375" style="40" bestFit="1" customWidth="1"/>
    <col min="9" max="9" width="2.85546875" style="40" customWidth="1"/>
    <col min="10" max="10" width="4.42578125" style="40" customWidth="1"/>
    <col min="11" max="11" width="6" style="40" customWidth="1"/>
    <col min="12" max="16384" width="11.5703125" style="40"/>
  </cols>
  <sheetData>
    <row r="1" spans="2:12" ht="39.950000000000003" customHeight="1">
      <c r="H1" s="546" t="str">
        <f>Textes!A316</f>
        <v>Poulets Zusammenfassung</v>
      </c>
    </row>
    <row r="2" spans="2:12" ht="5.45" customHeight="1">
      <c r="B2" s="525"/>
      <c r="C2" s="525"/>
      <c r="D2" s="525"/>
      <c r="E2" s="525"/>
    </row>
    <row r="3" spans="2:12" ht="15.75">
      <c r="B3" s="495" t="str">
        <f>Textes!A317</f>
        <v xml:space="preserve">Zusammenzug massgebende Stück zur Deklaration </v>
      </c>
      <c r="C3" s="525"/>
      <c r="D3" s="525"/>
      <c r="E3" s="525"/>
    </row>
    <row r="4" spans="2:12" ht="15.75">
      <c r="B4" s="495" t="str">
        <f>Textes!A318</f>
        <v>und Berechnung der GVE für die Direktzahlungen</v>
      </c>
      <c r="C4" s="525"/>
      <c r="D4" s="525"/>
      <c r="E4" s="525"/>
    </row>
    <row r="6" spans="2:12" ht="15.75">
      <c r="B6" s="515" t="str">
        <f>Textes!A319</f>
        <v>Beitragsjahr:</v>
      </c>
      <c r="C6" s="515"/>
      <c r="D6" s="515"/>
      <c r="E6" s="515"/>
      <c r="F6" s="531"/>
      <c r="G6" s="526"/>
      <c r="H6" s="526"/>
      <c r="I6" s="527"/>
      <c r="J6" s="528"/>
      <c r="K6" s="528"/>
      <c r="L6" s="324"/>
    </row>
    <row r="7" spans="2:12" ht="9.6" customHeight="1">
      <c r="B7" s="515"/>
      <c r="C7" s="515"/>
      <c r="D7" s="515"/>
      <c r="E7" s="515"/>
      <c r="F7" s="517"/>
      <c r="G7" s="517"/>
      <c r="H7" s="517"/>
      <c r="I7" s="494"/>
      <c r="J7" s="324"/>
      <c r="K7" s="324"/>
    </row>
    <row r="8" spans="2:12" ht="15.75">
      <c r="B8" s="515" t="str">
        <f>Textes!A320</f>
        <v>Betriebsnummer:</v>
      </c>
      <c r="C8" s="515"/>
      <c r="D8" s="515"/>
      <c r="E8" s="515"/>
      <c r="F8" s="668" t="str">
        <f>IF(Inv!D4=0,"",Inv!D4)</f>
        <v/>
      </c>
      <c r="G8" s="532"/>
      <c r="H8" s="533"/>
      <c r="I8" s="529"/>
      <c r="J8" s="530"/>
      <c r="K8" s="530"/>
    </row>
    <row r="9" spans="2:12" ht="9.6" customHeight="1">
      <c r="B9" s="515"/>
      <c r="C9" s="515"/>
      <c r="D9" s="515"/>
      <c r="E9" s="515"/>
      <c r="F9" s="517"/>
      <c r="G9" s="517"/>
      <c r="H9" s="517"/>
      <c r="I9" s="494"/>
      <c r="J9" s="324"/>
      <c r="K9" s="324"/>
    </row>
    <row r="10" spans="2:12" ht="15.75">
      <c r="B10" s="515" t="str">
        <f>Textes!A321</f>
        <v>Vorname, Name:</v>
      </c>
      <c r="C10" s="515"/>
      <c r="D10" s="515"/>
      <c r="E10" s="515"/>
      <c r="F10" s="535" t="str">
        <f>IF(Inv!D5=0,"",Inv!D6 &amp; " " &amp; Inv!D5)</f>
        <v/>
      </c>
      <c r="G10" s="532"/>
      <c r="H10" s="533"/>
      <c r="I10" s="527"/>
      <c r="J10" s="528"/>
      <c r="K10" s="528"/>
    </row>
    <row r="11" spans="2:12" ht="9.6" customHeight="1">
      <c r="B11" s="515"/>
      <c r="C11" s="515"/>
      <c r="D11" s="515"/>
      <c r="E11" s="515"/>
      <c r="F11" s="516"/>
      <c r="G11" s="516"/>
      <c r="H11" s="516"/>
      <c r="I11" s="527"/>
      <c r="J11" s="528"/>
      <c r="K11" s="528"/>
    </row>
    <row r="12" spans="2:12" ht="15.75">
      <c r="B12" s="515" t="str">
        <f>Textes!A322</f>
        <v>Adresse:</v>
      </c>
      <c r="C12" s="515"/>
      <c r="D12" s="515"/>
      <c r="E12" s="515"/>
      <c r="F12" s="535" t="str">
        <f>IF(Inv!D7=0,"",Inv!D7)</f>
        <v/>
      </c>
      <c r="G12" s="532"/>
      <c r="H12" s="533"/>
      <c r="I12" s="527"/>
      <c r="J12" s="528"/>
      <c r="K12" s="528"/>
    </row>
    <row r="13" spans="2:12" ht="9.6" customHeight="1">
      <c r="B13" s="515"/>
      <c r="C13" s="515"/>
      <c r="D13" s="515"/>
      <c r="E13" s="515"/>
      <c r="F13" s="516"/>
      <c r="G13" s="516"/>
      <c r="H13" s="516"/>
      <c r="I13" s="527"/>
      <c r="J13" s="528"/>
      <c r="K13" s="528"/>
    </row>
    <row r="14" spans="2:12" ht="15.75">
      <c r="B14" s="515" t="str">
        <f>Textes!A323</f>
        <v>PLZ, Ort:</v>
      </c>
      <c r="C14" s="515"/>
      <c r="D14" s="515"/>
      <c r="E14" s="515"/>
      <c r="F14" s="535" t="str">
        <f>IF(Inv!D9=0,"",Inv!D9)</f>
        <v/>
      </c>
      <c r="G14" s="532"/>
      <c r="H14" s="533"/>
      <c r="I14" s="527"/>
      <c r="J14" s="528"/>
      <c r="K14" s="528"/>
    </row>
    <row r="15" spans="2:12" ht="9.6" customHeight="1">
      <c r="B15" s="515"/>
      <c r="C15" s="515"/>
      <c r="D15" s="515"/>
      <c r="E15" s="515"/>
      <c r="F15" s="517"/>
      <c r="G15" s="517"/>
      <c r="H15" s="517"/>
      <c r="I15" s="494"/>
      <c r="J15" s="324"/>
      <c r="K15" s="324"/>
    </row>
    <row r="16" spans="2:12" ht="27" customHeight="1">
      <c r="I16" s="527"/>
      <c r="J16" s="528"/>
      <c r="K16" s="528"/>
    </row>
    <row r="17" spans="2:11" ht="5.45" customHeight="1" thickBot="1">
      <c r="B17" s="493"/>
      <c r="C17" s="493"/>
      <c r="D17" s="493"/>
      <c r="E17" s="493"/>
      <c r="F17" s="493"/>
      <c r="G17" s="43"/>
      <c r="H17" s="43"/>
      <c r="I17" s="494"/>
      <c r="J17" s="324"/>
      <c r="K17" s="324"/>
    </row>
    <row r="18" spans="2:11" ht="16.5" thickBot="1">
      <c r="B18" s="495" t="str">
        <f>Textes!A324</f>
        <v>Anzahl belegte Ställe</v>
      </c>
      <c r="C18" s="43"/>
      <c r="F18" s="669"/>
    </row>
    <row r="19" spans="2:11" ht="15.75" thickBot="1">
      <c r="F19" s="43"/>
      <c r="G19" s="43"/>
      <c r="H19" s="43"/>
    </row>
    <row r="20" spans="2:11" ht="15">
      <c r="D20" s="496"/>
      <c r="E20" s="497"/>
      <c r="F20" s="497"/>
      <c r="G20" s="497"/>
      <c r="H20" s="498"/>
    </row>
    <row r="21" spans="2:11" ht="15.75">
      <c r="D21" s="499"/>
      <c r="E21" s="500" t="s">
        <v>455</v>
      </c>
      <c r="F21" s="500" t="str">
        <f>Textes!A325</f>
        <v>Zu deklarieren</v>
      </c>
      <c r="G21" s="500"/>
      <c r="H21" s="501"/>
    </row>
    <row r="22" spans="2:11" ht="15.75">
      <c r="D22" s="499"/>
      <c r="E22" s="502" t="str">
        <f>Textes!A326</f>
        <v>Jahr</v>
      </c>
      <c r="F22" s="503" t="str">
        <f>Textes!A327</f>
        <v>Anzahl Tiere</v>
      </c>
      <c r="G22" s="504" t="str">
        <f>Textes!A328</f>
        <v>GVE</v>
      </c>
      <c r="H22" s="501"/>
    </row>
    <row r="23" spans="2:11" ht="15.75">
      <c r="D23" s="499"/>
      <c r="E23" s="505" t="str">
        <f>IF(F$6=0,"",F$6)</f>
        <v/>
      </c>
      <c r="F23" s="506">
        <f>F29+F33+F37</f>
        <v>0</v>
      </c>
      <c r="G23" s="507">
        <f>G29+G33+G37</f>
        <v>0</v>
      </c>
      <c r="H23" s="501"/>
    </row>
    <row r="24" spans="2:11" ht="15.75" thickBot="1">
      <c r="D24" s="508"/>
      <c r="E24" s="509"/>
      <c r="F24" s="509"/>
      <c r="G24" s="509"/>
      <c r="H24" s="510"/>
    </row>
    <row r="27" spans="2:11" ht="15">
      <c r="E27" s="43" t="str">
        <f>Textes!A330</f>
        <v>Stall 1</v>
      </c>
      <c r="F27" s="43" t="str">
        <f>Textes!A329</f>
        <v>Durchschnittsbestand</v>
      </c>
      <c r="G27" s="43"/>
    </row>
    <row r="28" spans="2:11" ht="15">
      <c r="E28" s="511" t="str">
        <f>Textes!A326</f>
        <v>Jahr</v>
      </c>
      <c r="F28" s="512" t="str">
        <f>Textes!A327</f>
        <v>Anzahl Tiere</v>
      </c>
      <c r="G28" s="512" t="str">
        <f>Textes!A328</f>
        <v>GVE</v>
      </c>
    </row>
    <row r="29" spans="2:11" ht="15">
      <c r="E29" s="505" t="str">
        <f>IF(F$6=0,"",F$6)</f>
        <v/>
      </c>
      <c r="F29" s="513">
        <f>Poulet1!K170</f>
        <v>0</v>
      </c>
      <c r="G29" s="514">
        <f>Poulet1!K172</f>
        <v>0</v>
      </c>
    </row>
    <row r="30" spans="2:11" ht="15">
      <c r="E30" s="43"/>
      <c r="F30" s="43"/>
      <c r="G30" s="43"/>
    </row>
    <row r="31" spans="2:11" ht="15">
      <c r="E31" s="43" t="str">
        <f>Textes!A331</f>
        <v>Stall 2</v>
      </c>
      <c r="F31" s="43" t="str">
        <f>Textes!A329</f>
        <v>Durchschnittsbestand</v>
      </c>
      <c r="G31" s="43"/>
    </row>
    <row r="32" spans="2:11" ht="15">
      <c r="E32" s="511" t="str">
        <f>Textes!A326</f>
        <v>Jahr</v>
      </c>
      <c r="F32" s="512" t="str">
        <f>Textes!A327</f>
        <v>Anzahl Tiere</v>
      </c>
      <c r="G32" s="512" t="str">
        <f>Textes!A328</f>
        <v>GVE</v>
      </c>
    </row>
    <row r="33" spans="2:8" ht="15">
      <c r="E33" s="505" t="str">
        <f>IF(F$6=0,"",F$6)</f>
        <v/>
      </c>
      <c r="F33" s="513">
        <f>Poulet2!K170</f>
        <v>0</v>
      </c>
      <c r="G33" s="514">
        <f>Poulet2!K172</f>
        <v>0</v>
      </c>
    </row>
    <row r="34" spans="2:8" ht="15">
      <c r="E34" s="43"/>
      <c r="F34" s="43"/>
      <c r="G34" s="43"/>
    </row>
    <row r="35" spans="2:8" ht="15">
      <c r="E35" s="43" t="str">
        <f>Textes!A332</f>
        <v>Stall 3</v>
      </c>
      <c r="F35" s="43" t="str">
        <f>Textes!A329</f>
        <v>Durchschnittsbestand</v>
      </c>
      <c r="G35" s="43"/>
    </row>
    <row r="36" spans="2:8" ht="15">
      <c r="C36" s="481"/>
      <c r="D36" s="481"/>
      <c r="E36" s="511" t="str">
        <f>Textes!A326</f>
        <v>Jahr</v>
      </c>
      <c r="F36" s="512" t="str">
        <f>Textes!A327</f>
        <v>Anzahl Tiere</v>
      </c>
      <c r="G36" s="512" t="str">
        <f>Textes!A328</f>
        <v>GVE</v>
      </c>
    </row>
    <row r="37" spans="2:8" ht="15">
      <c r="E37" s="505" t="str">
        <f>IF(F$6=0,"",F$6)</f>
        <v/>
      </c>
      <c r="F37" s="513">
        <f>Poulet3!K170</f>
        <v>0</v>
      </c>
      <c r="G37" s="514">
        <f>Poulet3!K172</f>
        <v>0</v>
      </c>
    </row>
    <row r="39" spans="2:8" ht="20.25" customHeight="1">
      <c r="B39" s="543" t="str">
        <f>+Textes!A70</f>
        <v>Kantonale Kontrollstelle, Datum:</v>
      </c>
      <c r="C39" s="542"/>
      <c r="D39" s="542"/>
      <c r="E39" s="542"/>
      <c r="F39" s="544" t="str">
        <f>+Textes!A85</f>
        <v>Unterschrift:</v>
      </c>
      <c r="G39" s="532"/>
      <c r="H39" s="533"/>
    </row>
    <row r="40" spans="2:8" ht="4.5" customHeight="1">
      <c r="B40" s="493"/>
      <c r="C40" s="493"/>
      <c r="D40" s="493"/>
      <c r="E40" s="493"/>
      <c r="G40" s="517"/>
      <c r="H40" s="517"/>
    </row>
    <row r="41" spans="2:8" ht="20.25" customHeight="1">
      <c r="B41" s="543" t="str">
        <f>+Textes!A74</f>
        <v>Betriebsleiter, Datum:</v>
      </c>
      <c r="C41" s="542"/>
      <c r="D41" s="542"/>
      <c r="E41" s="542"/>
      <c r="F41" s="544" t="str">
        <f>+Textes!A85</f>
        <v>Unterschrift:</v>
      </c>
      <c r="G41" s="532"/>
      <c r="H41" s="533"/>
    </row>
    <row r="43" spans="2:8">
      <c r="B43" s="481" t="s">
        <v>813</v>
      </c>
    </row>
  </sheetData>
  <sheetProtection password="8C69" sheet="1" scenarios="1"/>
  <phoneticPr fontId="0" type="noConversion"/>
  <pageMargins left="0.78740157480314965" right="0.6692913385826772" top="0.47244094488188981" bottom="0.47244094488188981" header="0.39370078740157483" footer="0.39370078740157483"/>
  <pageSetup paperSize="9" scale="91" fitToHeight="0" orientation="portrait" r:id="rId1"/>
  <headerFooter alignWithMargins="0">
    <oddFooter>&amp;L&amp;"Arial,Fett"&amp;11AGRIDEA &amp;"Arial,Standard"&amp;9Impex, Version 2.6&amp;R&amp;"Arial,Standard"&amp;9&amp;D / Seite &amp;P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
  <sheetViews>
    <sheetView showRowColHeaders="0" showZeros="0" workbookViewId="0">
      <selection activeCell="A2" sqref="A2"/>
    </sheetView>
  </sheetViews>
  <sheetFormatPr baseColWidth="10" defaultColWidth="11.42578125" defaultRowHeight="12.75"/>
  <cols>
    <col min="1" max="16384" width="11.42578125" style="376"/>
  </cols>
  <sheetData>
    <row r="1" spans="1:1">
      <c r="A1" s="376" t="s">
        <v>469</v>
      </c>
    </row>
  </sheetData>
  <sheetProtection password="8C69" sheet="1" scenarios="1"/>
  <phoneticPr fontId="28" type="noConversion"/>
  <pageMargins left="0.59055118110236227" right="0.39370078740157483" top="0.39370078740157483" bottom="0.32" header="0.11811023622047245" footer="0.11811023622047245"/>
  <pageSetup paperSize="9" fitToWidth="9" orientation="portrait" r:id="rId1"/>
  <headerFooter alignWithMargins="0">
    <oddFooter>&amp;C&amp;9&amp;F&amp;L&amp;"Arial,Fett"&amp;11AGRIDEA &amp;"Arial,Standard"&amp;9Impex, Version 2.6&amp;R&amp;"Arial,Standard"&amp;9&amp;D / Seite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B2:E55"/>
  <sheetViews>
    <sheetView showGridLines="0" showRowColHeaders="0" showZeros="0" workbookViewId="0"/>
  </sheetViews>
  <sheetFormatPr baseColWidth="10" defaultColWidth="11.5703125" defaultRowHeight="12.75"/>
  <cols>
    <col min="1" max="1" width="5.42578125" style="422" customWidth="1"/>
    <col min="2" max="2" width="14.7109375" style="422" customWidth="1"/>
    <col min="3" max="4" width="13" style="422" customWidth="1"/>
    <col min="5" max="5" width="18.5703125" style="422" customWidth="1"/>
    <col min="6" max="16384" width="11.5703125" style="422"/>
  </cols>
  <sheetData>
    <row r="2" spans="2:5">
      <c r="B2" s="518" t="s">
        <v>861</v>
      </c>
      <c r="C2" s="702" t="s">
        <v>862</v>
      </c>
      <c r="D2" s="703"/>
      <c r="E2" s="518" t="s">
        <v>868</v>
      </c>
    </row>
    <row r="3" spans="2:5">
      <c r="B3" s="519"/>
      <c r="C3" s="520" t="s">
        <v>863</v>
      </c>
      <c r="D3" s="463" t="s">
        <v>864</v>
      </c>
      <c r="E3" s="519"/>
    </row>
    <row r="4" spans="2:5">
      <c r="B4" s="518" t="s">
        <v>865</v>
      </c>
      <c r="C4" s="521">
        <v>30</v>
      </c>
      <c r="D4" s="461">
        <v>100</v>
      </c>
      <c r="E4" s="518">
        <v>1</v>
      </c>
    </row>
    <row r="5" spans="2:5">
      <c r="B5" s="519" t="s">
        <v>866</v>
      </c>
      <c r="C5" s="520">
        <v>1</v>
      </c>
      <c r="D5" s="463">
        <v>29</v>
      </c>
      <c r="E5" s="519">
        <v>0.5</v>
      </c>
    </row>
    <row r="6" spans="2:5">
      <c r="B6" s="518"/>
      <c r="C6" s="521"/>
      <c r="D6" s="461"/>
      <c r="E6" s="518"/>
    </row>
    <row r="7" spans="2:5">
      <c r="B7" s="519" t="s">
        <v>829</v>
      </c>
      <c r="C7" s="520"/>
      <c r="D7" s="463"/>
      <c r="E7" s="519">
        <v>0</v>
      </c>
    </row>
    <row r="8" spans="2:5">
      <c r="B8" s="522"/>
      <c r="C8" s="446"/>
      <c r="D8" s="464"/>
      <c r="E8" s="522"/>
    </row>
    <row r="9" spans="2:5">
      <c r="B9" s="518"/>
      <c r="C9" s="521"/>
      <c r="D9" s="461"/>
      <c r="E9" s="518"/>
    </row>
    <row r="10" spans="2:5">
      <c r="B10" s="523" t="s">
        <v>867</v>
      </c>
      <c r="C10" s="520"/>
      <c r="D10" s="463"/>
      <c r="E10" s="519">
        <v>4.0000000000000001E-3</v>
      </c>
    </row>
    <row r="11" spans="2:5">
      <c r="B11" s="524"/>
      <c r="C11" s="446"/>
      <c r="D11" s="464"/>
      <c r="E11" s="522"/>
    </row>
    <row r="12" spans="2:5">
      <c r="B12" s="481"/>
    </row>
    <row r="13" spans="2:5" ht="25.5">
      <c r="B13" s="704" t="s">
        <v>29</v>
      </c>
      <c r="C13" s="564" t="s">
        <v>30</v>
      </c>
      <c r="D13" s="564" t="s">
        <v>33</v>
      </c>
      <c r="E13" s="564" t="s">
        <v>34</v>
      </c>
    </row>
    <row r="14" spans="2:5">
      <c r="B14" s="705"/>
      <c r="C14" s="566" t="s">
        <v>31</v>
      </c>
      <c r="D14" s="566" t="s">
        <v>32</v>
      </c>
      <c r="E14" s="566" t="s">
        <v>35</v>
      </c>
    </row>
    <row r="15" spans="2:5">
      <c r="B15" s="706"/>
      <c r="C15" s="567" t="s">
        <v>32</v>
      </c>
      <c r="D15" s="568"/>
      <c r="E15" s="567" t="s">
        <v>36</v>
      </c>
    </row>
    <row r="16" spans="2:5">
      <c r="B16" s="565">
        <v>1</v>
      </c>
      <c r="C16" s="565">
        <v>40</v>
      </c>
      <c r="D16" s="565">
        <v>3</v>
      </c>
      <c r="E16" s="565">
        <v>0.03</v>
      </c>
    </row>
    <row r="17" spans="2:5">
      <c r="B17" s="562">
        <v>2</v>
      </c>
      <c r="C17" s="562">
        <v>48</v>
      </c>
      <c r="D17" s="562">
        <v>7</v>
      </c>
      <c r="E17" s="562">
        <v>0.15</v>
      </c>
    </row>
    <row r="18" spans="2:5">
      <c r="B18" s="562">
        <v>3</v>
      </c>
      <c r="C18" s="562">
        <v>59</v>
      </c>
      <c r="D18" s="562">
        <v>11</v>
      </c>
      <c r="E18" s="562">
        <v>0.3</v>
      </c>
    </row>
    <row r="19" spans="2:5">
      <c r="B19" s="562">
        <v>4</v>
      </c>
      <c r="C19" s="562">
        <v>74</v>
      </c>
      <c r="D19" s="562">
        <v>15</v>
      </c>
      <c r="E19" s="562">
        <v>0.4</v>
      </c>
    </row>
    <row r="20" spans="2:5">
      <c r="B20" s="562">
        <v>5</v>
      </c>
      <c r="C20" s="562">
        <v>91</v>
      </c>
      <c r="D20" s="562">
        <v>17</v>
      </c>
      <c r="E20" s="562">
        <v>0.5</v>
      </c>
    </row>
    <row r="21" spans="2:5">
      <c r="B21" s="562">
        <v>6</v>
      </c>
      <c r="C21" s="562">
        <v>113</v>
      </c>
      <c r="D21" s="562">
        <v>22</v>
      </c>
      <c r="E21" s="562">
        <v>0.59</v>
      </c>
    </row>
    <row r="22" spans="2:5">
      <c r="B22" s="562">
        <v>7</v>
      </c>
      <c r="C22" s="562">
        <v>138</v>
      </c>
      <c r="D22" s="562">
        <v>25</v>
      </c>
      <c r="E22" s="562">
        <v>0.67</v>
      </c>
    </row>
    <row r="23" spans="2:5">
      <c r="B23" s="562">
        <v>8</v>
      </c>
      <c r="C23" s="562">
        <v>167</v>
      </c>
      <c r="D23" s="562">
        <v>29</v>
      </c>
      <c r="E23" s="562">
        <v>0.75</v>
      </c>
    </row>
    <row r="24" spans="2:5">
      <c r="B24" s="562">
        <v>9</v>
      </c>
      <c r="C24" s="562">
        <v>198</v>
      </c>
      <c r="D24" s="562">
        <v>31</v>
      </c>
      <c r="E24" s="562">
        <v>0.83</v>
      </c>
    </row>
    <row r="25" spans="2:5">
      <c r="B25" s="562">
        <v>10</v>
      </c>
      <c r="C25" s="562">
        <v>232</v>
      </c>
      <c r="D25" s="562">
        <v>34</v>
      </c>
      <c r="E25" s="562">
        <v>0.91</v>
      </c>
    </row>
    <row r="26" spans="2:5">
      <c r="B26" s="562">
        <v>11</v>
      </c>
      <c r="C26" s="562">
        <v>269</v>
      </c>
      <c r="D26" s="562">
        <v>37</v>
      </c>
      <c r="E26" s="562">
        <v>0.99</v>
      </c>
    </row>
    <row r="27" spans="2:5">
      <c r="B27" s="562">
        <v>12</v>
      </c>
      <c r="C27" s="562">
        <v>310</v>
      </c>
      <c r="D27" s="562">
        <v>41</v>
      </c>
      <c r="E27" s="562">
        <v>1.0900000000000001</v>
      </c>
    </row>
    <row r="28" spans="2:5">
      <c r="B28" s="562">
        <v>13</v>
      </c>
      <c r="C28" s="562">
        <v>355</v>
      </c>
      <c r="D28" s="562">
        <v>45</v>
      </c>
      <c r="E28" s="562">
        <v>1.2</v>
      </c>
    </row>
    <row r="29" spans="2:5">
      <c r="B29" s="562">
        <v>14</v>
      </c>
      <c r="C29" s="562">
        <v>402</v>
      </c>
      <c r="D29" s="562">
        <v>47</v>
      </c>
      <c r="E29" s="562">
        <v>1.31</v>
      </c>
    </row>
    <row r="30" spans="2:5">
      <c r="B30" s="562">
        <v>15</v>
      </c>
      <c r="C30" s="562">
        <v>451</v>
      </c>
      <c r="D30" s="562">
        <v>50</v>
      </c>
      <c r="E30" s="562">
        <v>1.42</v>
      </c>
    </row>
    <row r="31" spans="2:5">
      <c r="B31" s="562">
        <v>16</v>
      </c>
      <c r="C31" s="562">
        <v>505</v>
      </c>
      <c r="D31" s="562">
        <v>53</v>
      </c>
      <c r="E31" s="562">
        <v>1.53</v>
      </c>
    </row>
    <row r="32" spans="2:5">
      <c r="B32" s="562">
        <v>17</v>
      </c>
      <c r="C32" s="562">
        <v>560</v>
      </c>
      <c r="D32" s="562">
        <v>55</v>
      </c>
      <c r="E32" s="562">
        <v>1.64</v>
      </c>
    </row>
    <row r="33" spans="2:5">
      <c r="B33" s="562">
        <v>18</v>
      </c>
      <c r="C33" s="562">
        <v>618</v>
      </c>
      <c r="D33" s="562">
        <v>58</v>
      </c>
      <c r="E33" s="562">
        <v>1.75</v>
      </c>
    </row>
    <row r="34" spans="2:5">
      <c r="B34" s="562">
        <v>19</v>
      </c>
      <c r="C34" s="562">
        <v>679</v>
      </c>
      <c r="D34" s="562">
        <v>61</v>
      </c>
      <c r="E34" s="562">
        <v>1.86</v>
      </c>
    </row>
    <row r="35" spans="2:5">
      <c r="B35" s="562">
        <v>20</v>
      </c>
      <c r="C35" s="562">
        <v>743</v>
      </c>
      <c r="D35" s="562">
        <v>64</v>
      </c>
      <c r="E35" s="562">
        <v>1.97</v>
      </c>
    </row>
    <row r="36" spans="2:5">
      <c r="B36" s="562">
        <v>21</v>
      </c>
      <c r="C36" s="562">
        <v>809</v>
      </c>
      <c r="D36" s="562">
        <v>66</v>
      </c>
      <c r="E36" s="562">
        <v>2.0499999999999998</v>
      </c>
    </row>
    <row r="37" spans="2:5">
      <c r="B37" s="562">
        <v>22</v>
      </c>
      <c r="C37" s="562">
        <v>879</v>
      </c>
      <c r="D37" s="562">
        <v>70</v>
      </c>
      <c r="E37" s="562">
        <v>2.13</v>
      </c>
    </row>
    <row r="38" spans="2:5">
      <c r="B38" s="562">
        <v>23</v>
      </c>
      <c r="C38" s="562">
        <v>951</v>
      </c>
      <c r="D38" s="562">
        <v>73</v>
      </c>
      <c r="E38" s="562">
        <v>2.21</v>
      </c>
    </row>
    <row r="39" spans="2:5">
      <c r="B39" s="562">
        <v>24</v>
      </c>
      <c r="C39" s="562">
        <v>1027</v>
      </c>
      <c r="D39" s="562">
        <v>76</v>
      </c>
      <c r="E39" s="562">
        <v>2.29</v>
      </c>
    </row>
    <row r="40" spans="2:5">
      <c r="B40" s="562">
        <v>25</v>
      </c>
      <c r="C40" s="562">
        <v>1107</v>
      </c>
      <c r="D40" s="562">
        <v>80</v>
      </c>
      <c r="E40" s="562">
        <v>2.37</v>
      </c>
    </row>
    <row r="41" spans="2:5">
      <c r="B41" s="562">
        <v>26</v>
      </c>
      <c r="C41" s="562">
        <v>1190</v>
      </c>
      <c r="D41" s="562">
        <v>83</v>
      </c>
      <c r="E41" s="562">
        <v>2.4500000000000002</v>
      </c>
    </row>
    <row r="42" spans="2:5">
      <c r="B42" s="562">
        <v>27</v>
      </c>
      <c r="C42" s="562">
        <v>1276</v>
      </c>
      <c r="D42" s="562">
        <v>86</v>
      </c>
      <c r="E42" s="562">
        <v>2.5299999999999998</v>
      </c>
    </row>
    <row r="43" spans="2:5">
      <c r="B43" s="562">
        <v>28</v>
      </c>
      <c r="C43" s="562">
        <v>1365</v>
      </c>
      <c r="D43" s="562">
        <v>89</v>
      </c>
      <c r="E43" s="562">
        <v>2.6</v>
      </c>
    </row>
    <row r="44" spans="2:5">
      <c r="B44" s="562">
        <v>29</v>
      </c>
      <c r="C44" s="562">
        <v>1455</v>
      </c>
      <c r="D44" s="562">
        <v>91</v>
      </c>
      <c r="E44" s="562">
        <v>2.67</v>
      </c>
    </row>
    <row r="45" spans="2:5">
      <c r="B45" s="562">
        <v>30</v>
      </c>
      <c r="C45" s="562">
        <v>1547</v>
      </c>
      <c r="D45" s="562">
        <v>92</v>
      </c>
      <c r="E45" s="562">
        <v>2.74</v>
      </c>
    </row>
    <row r="46" spans="2:5">
      <c r="B46" s="562">
        <v>31</v>
      </c>
      <c r="C46" s="562">
        <v>1641</v>
      </c>
      <c r="D46" s="562">
        <v>94</v>
      </c>
      <c r="E46" s="562">
        <v>2.8</v>
      </c>
    </row>
    <row r="47" spans="2:5">
      <c r="B47" s="562">
        <v>32</v>
      </c>
      <c r="C47" s="562">
        <v>1737</v>
      </c>
      <c r="D47" s="562">
        <v>96</v>
      </c>
      <c r="E47" s="562">
        <v>2.87</v>
      </c>
    </row>
    <row r="48" spans="2:5">
      <c r="B48" s="562">
        <v>33</v>
      </c>
      <c r="C48" s="562">
        <v>1833</v>
      </c>
      <c r="D48" s="562">
        <v>96</v>
      </c>
      <c r="E48" s="562">
        <v>2.94</v>
      </c>
    </row>
    <row r="49" spans="2:5">
      <c r="B49" s="562">
        <v>34</v>
      </c>
      <c r="C49" s="562">
        <v>1930</v>
      </c>
      <c r="D49" s="562">
        <v>97</v>
      </c>
      <c r="E49" s="562">
        <v>3.02</v>
      </c>
    </row>
    <row r="50" spans="2:5">
      <c r="B50" s="562">
        <v>35</v>
      </c>
      <c r="C50" s="562">
        <v>2027</v>
      </c>
      <c r="D50" s="562">
        <v>97</v>
      </c>
      <c r="E50" s="562">
        <v>3.1</v>
      </c>
    </row>
    <row r="51" spans="2:5">
      <c r="B51" s="562">
        <v>36</v>
      </c>
      <c r="C51" s="562">
        <v>2124</v>
      </c>
      <c r="D51" s="562">
        <v>97</v>
      </c>
      <c r="E51" s="562">
        <v>3.14</v>
      </c>
    </row>
    <row r="52" spans="2:5">
      <c r="B52" s="562">
        <v>37</v>
      </c>
      <c r="C52" s="562">
        <v>2221</v>
      </c>
      <c r="D52" s="562">
        <v>97</v>
      </c>
      <c r="E52" s="562">
        <v>3.18</v>
      </c>
    </row>
    <row r="53" spans="2:5">
      <c r="B53" s="562">
        <v>38</v>
      </c>
      <c r="C53" s="562">
        <v>2316</v>
      </c>
      <c r="D53" s="562">
        <v>96</v>
      </c>
      <c r="E53" s="562">
        <v>3.2</v>
      </c>
    </row>
    <row r="54" spans="2:5">
      <c r="B54" s="562">
        <v>39</v>
      </c>
      <c r="C54" s="562">
        <v>2411</v>
      </c>
      <c r="D54" s="562">
        <v>95</v>
      </c>
      <c r="E54" s="562">
        <v>3.23</v>
      </c>
    </row>
    <row r="55" spans="2:5">
      <c r="B55" s="563">
        <v>40</v>
      </c>
      <c r="C55" s="563">
        <v>2503</v>
      </c>
      <c r="D55" s="563">
        <v>92</v>
      </c>
      <c r="E55" s="563">
        <v>3.26</v>
      </c>
    </row>
  </sheetData>
  <mergeCells count="2">
    <mergeCell ref="C2:D2"/>
    <mergeCell ref="B13:B15"/>
  </mergeCells>
  <phoneticPr fontId="0" type="noConversion"/>
  <pageMargins left="0.78740157480314965" right="0.6692913385826772" top="0.47244094488188981" bottom="0.47244094488188981" header="0.39370078740157483" footer="0.39370078740157483"/>
  <pageSetup paperSize="9" fitToHeight="0" orientation="portrait" r:id="rId1"/>
  <headerFooter alignWithMargins="0">
    <oddFooter>&amp;L&amp;"Arial,Fett"&amp;11AGRIDEA &amp;"Arial,Standard"&amp;9Impex, Version 2.6&amp;R&amp;"Arial,Standard"&amp;9&amp;D / Seite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AB434"/>
  <sheetViews>
    <sheetView showRowColHeaders="0" showZeros="0" zoomScaleNormal="100" workbookViewId="0"/>
  </sheetViews>
  <sheetFormatPr baseColWidth="10" defaultColWidth="11.42578125" defaultRowHeight="12.75"/>
  <cols>
    <col min="1" max="1" width="35.85546875" style="313" customWidth="1"/>
    <col min="2" max="2" width="29.28515625" style="313" customWidth="1"/>
    <col min="3" max="21" width="11.42578125" style="313"/>
    <col min="22" max="22" width="17.42578125" style="313" customWidth="1"/>
    <col min="23" max="23" width="11.42578125" style="313"/>
    <col min="24" max="24" width="17" style="313" customWidth="1"/>
    <col min="25" max="16384" width="11.42578125" style="313"/>
  </cols>
  <sheetData>
    <row r="1" spans="1:28">
      <c r="A1" s="313" t="s">
        <v>470</v>
      </c>
      <c r="B1" s="313" t="s">
        <v>471</v>
      </c>
      <c r="C1" s="313" t="s">
        <v>472</v>
      </c>
      <c r="D1" s="313" t="s">
        <v>473</v>
      </c>
      <c r="F1" s="314" t="s">
        <v>474</v>
      </c>
      <c r="G1" s="315" t="s">
        <v>475</v>
      </c>
      <c r="H1" s="316"/>
      <c r="I1" s="316"/>
      <c r="J1" s="317"/>
      <c r="K1" s="315" t="s">
        <v>155</v>
      </c>
      <c r="L1" s="316"/>
      <c r="M1" s="316"/>
      <c r="N1" s="316"/>
      <c r="O1" s="321"/>
      <c r="S1" s="313" t="str">
        <f>I3</f>
        <v>Schweinehaltung</v>
      </c>
      <c r="U1" s="313" t="str">
        <f>I4</f>
        <v>Junghennen</v>
      </c>
      <c r="W1" s="313" t="str">
        <f>I5</f>
        <v>Mastpoulets</v>
      </c>
      <c r="Y1" s="313" t="str">
        <f>I6</f>
        <v>Masttruten</v>
      </c>
      <c r="AA1" s="313" t="str">
        <f>I7</f>
        <v>Kaninchen</v>
      </c>
    </row>
    <row r="2" spans="1:28">
      <c r="F2" s="318">
        <v>2</v>
      </c>
      <c r="G2" s="319">
        <v>3</v>
      </c>
      <c r="H2" s="320"/>
      <c r="I2" s="320"/>
      <c r="J2" s="321"/>
      <c r="K2" s="319"/>
      <c r="L2" s="320"/>
      <c r="M2" s="320"/>
      <c r="N2" s="320"/>
      <c r="O2" s="606" t="s">
        <v>158</v>
      </c>
      <c r="S2" s="313">
        <v>1</v>
      </c>
      <c r="T2" s="313">
        <f>S2+0.5</f>
        <v>1.5</v>
      </c>
      <c r="U2" s="313">
        <v>2</v>
      </c>
      <c r="V2" s="313">
        <f>U2+0.5</f>
        <v>2.5</v>
      </c>
      <c r="W2" s="313">
        <v>3</v>
      </c>
      <c r="X2" s="313">
        <f>W2+0.5</f>
        <v>3.5</v>
      </c>
      <c r="Y2" s="313">
        <v>4</v>
      </c>
      <c r="Z2" s="313">
        <f>Y2+0.5</f>
        <v>4.5</v>
      </c>
      <c r="AA2" s="313">
        <v>5</v>
      </c>
      <c r="AB2" s="313">
        <f>AA2+0.5</f>
        <v>5.5</v>
      </c>
    </row>
    <row r="3" spans="1:28">
      <c r="F3" s="322" t="s">
        <v>471</v>
      </c>
      <c r="G3" s="323" t="str">
        <f>IF(Textes!F$2=1,H3,IF(Textes!F$2=2,I3,IF(Textes!F$2=3,J3,"")))</f>
        <v>Schweinehaltung</v>
      </c>
      <c r="H3" s="324" t="s">
        <v>476</v>
      </c>
      <c r="I3" s="45" t="s">
        <v>477</v>
      </c>
      <c r="J3" s="325"/>
      <c r="K3" s="323" t="str">
        <f>IF(Textes!F$2=1,L3,IF(Textes!F$2=2,M3,IF(Textes!F$2=3,N3,"")))</f>
        <v>Mastschweine</v>
      </c>
      <c r="L3" s="611" t="s">
        <v>396</v>
      </c>
      <c r="M3" s="45" t="s">
        <v>395</v>
      </c>
      <c r="N3" s="324"/>
      <c r="O3" s="321">
        <v>0.79</v>
      </c>
      <c r="Q3" s="313" t="str">
        <f>$A33</f>
        <v>Code</v>
      </c>
      <c r="R3" s="313" t="str">
        <f>$A34</f>
        <v>Tierkategorie</v>
      </c>
      <c r="S3" s="313" t="str">
        <f>$A33</f>
        <v>Code</v>
      </c>
      <c r="T3" s="313" t="str">
        <f>$A34</f>
        <v>Tierkategorie</v>
      </c>
      <c r="U3" s="313" t="str">
        <f>$A33</f>
        <v>Code</v>
      </c>
      <c r="V3" s="313" t="str">
        <f>$A34</f>
        <v>Tierkategorie</v>
      </c>
      <c r="W3" s="313" t="str">
        <f>$A33</f>
        <v>Code</v>
      </c>
      <c r="X3" s="313" t="str">
        <f>$A34</f>
        <v>Tierkategorie</v>
      </c>
      <c r="Y3" s="313" t="str">
        <f>$A33</f>
        <v>Code</v>
      </c>
      <c r="Z3" s="313" t="str">
        <f>$A34</f>
        <v>Tierkategorie</v>
      </c>
      <c r="AA3" s="313" t="str">
        <f>$A33</f>
        <v>Code</v>
      </c>
      <c r="AB3" s="313" t="str">
        <f>$A34</f>
        <v>Tierkategorie</v>
      </c>
    </row>
    <row r="4" spans="1:28" ht="15">
      <c r="A4" s="52" t="str">
        <f>IF(Textes!F$2=1,B4,IF(Textes!F$2=2,C4,IF(Textes!F$2=3,D4,"")))</f>
        <v>MJ VES</v>
      </c>
      <c r="B4" s="40" t="s">
        <v>478</v>
      </c>
      <c r="C4" s="52" t="s">
        <v>479</v>
      </c>
      <c r="D4" s="43"/>
      <c r="F4" s="356" t="s">
        <v>472</v>
      </c>
      <c r="G4" s="323" t="str">
        <f>IF(Textes!F$2=1,H4,IF(Textes!F$2=2,I4,IF(Textes!F$2=3,J4,"")))</f>
        <v>Junghennen</v>
      </c>
      <c r="H4" s="45" t="s">
        <v>450</v>
      </c>
      <c r="I4" s="45" t="s">
        <v>480</v>
      </c>
      <c r="J4" s="357"/>
      <c r="K4" s="323" t="str">
        <f>IF(Textes!F$2=1,L4,IF(Textes!F$2=2,M4,IF(Textes!F$2=3,N4,"")))</f>
        <v>Mutterschweine, gebrüht</v>
      </c>
      <c r="L4" s="611" t="s">
        <v>397</v>
      </c>
      <c r="M4" s="45" t="s">
        <v>156</v>
      </c>
      <c r="N4" s="494"/>
      <c r="O4" s="321">
        <v>0.71</v>
      </c>
      <c r="Q4" s="313">
        <f>LOOKUP($G$2,$S$2:AB2,S4:AB4)</f>
        <v>1757</v>
      </c>
      <c r="R4" s="313" t="str">
        <f>LOOKUP($G$2+0.5,$S$2:AB2,S4:AB4)</f>
        <v>Mastpoulets Stall 1</v>
      </c>
      <c r="S4" s="313">
        <v>1611</v>
      </c>
      <c r="T4" s="313" t="str">
        <f t="shared" ref="T4:T9" si="0">A35</f>
        <v>Säugende Zuchtsauen</v>
      </c>
      <c r="U4" s="313">
        <v>1755</v>
      </c>
      <c r="V4" s="313" t="str">
        <f>C41</f>
        <v>Junghennen</v>
      </c>
      <c r="W4" s="313">
        <v>1757</v>
      </c>
      <c r="X4" s="313" t="str">
        <f>A42</f>
        <v>Mastpoulets Stall 1</v>
      </c>
      <c r="Y4" s="313">
        <v>1761</v>
      </c>
      <c r="Z4" s="313" t="str">
        <f>A45</f>
        <v>Truten jeden Alters</v>
      </c>
      <c r="AA4" s="313">
        <v>1861</v>
      </c>
      <c r="AB4" s="313" t="str">
        <f>A48</f>
        <v>Produz. Zibbe</v>
      </c>
    </row>
    <row r="5" spans="1:28" ht="15">
      <c r="A5" s="52" t="str">
        <f>IF(Textes!F$2=1,B5,IF(Textes!F$2=2,C5,IF(Textes!F$2=3,D5,"")))</f>
        <v>MJ UEG</v>
      </c>
      <c r="B5" s="52" t="s">
        <v>481</v>
      </c>
      <c r="C5" s="52" t="s">
        <v>482</v>
      </c>
      <c r="D5" s="43"/>
      <c r="F5" s="365"/>
      <c r="G5" s="323" t="str">
        <f>IF(Textes!F$2=1,H5,IF(Textes!F$2=2,I5,IF(Textes!F$2=3,J5,"")))</f>
        <v>Mastpoulets</v>
      </c>
      <c r="H5" s="320" t="s">
        <v>483</v>
      </c>
      <c r="I5" s="320" t="s">
        <v>484</v>
      </c>
      <c r="J5" s="321"/>
      <c r="K5" s="366" t="str">
        <f>IF(Textes!F$2=1,L5,IF(Textes!F$2=2,M5,IF(Textes!F$2=3,N5,"")))</f>
        <v>Mutterschweine, gehäutet</v>
      </c>
      <c r="L5" s="612" t="s">
        <v>398</v>
      </c>
      <c r="M5" s="358" t="s">
        <v>157</v>
      </c>
      <c r="N5" s="358"/>
      <c r="O5" s="360">
        <v>0.62</v>
      </c>
      <c r="Q5" s="313">
        <f ca="1">LOOKUP($G$2,$S$2:AB3,S5:AB5)</f>
        <v>1757</v>
      </c>
      <c r="R5" s="313" t="str">
        <f ca="1">LOOKUP($G$2+0.5,$S$2:AB3,S5:AB5)</f>
        <v>Mastpoulets Stall 2</v>
      </c>
      <c r="S5" s="313">
        <v>1615</v>
      </c>
      <c r="T5" s="313" t="str">
        <f t="shared" si="0"/>
        <v>Nicht säugende Zuchtsauen &gt; 6 Mte</v>
      </c>
      <c r="U5" s="313">
        <v>1755</v>
      </c>
      <c r="V5" s="313" t="str">
        <f>C41</f>
        <v>Junghennen</v>
      </c>
      <c r="W5" s="313">
        <v>1757</v>
      </c>
      <c r="X5" s="313" t="str">
        <f>A43</f>
        <v>Mastpoulets Stall 2</v>
      </c>
      <c r="Y5" s="313">
        <v>1761</v>
      </c>
      <c r="Z5" s="313" t="str">
        <f>A45</f>
        <v>Truten jeden Alters</v>
      </c>
      <c r="AA5" s="313">
        <v>1861</v>
      </c>
      <c r="AB5" s="313" t="str">
        <f>A48</f>
        <v>Produz. Zibbe</v>
      </c>
    </row>
    <row r="6" spans="1:28" ht="15">
      <c r="A6" s="52" t="str">
        <f>IF(Textes!F$2=1,B6,IF(Textes!F$2=2,C6,IF(Textes!F$2=3,D6,"")))</f>
        <v>MJ UEG</v>
      </c>
      <c r="B6" s="52" t="str">
        <f>+IF(Textes!G2=1,B4,B5)</f>
        <v>MJ EMV</v>
      </c>
      <c r="C6" s="52" t="str">
        <f>+IF(Textes!G2=1,C4,C5)</f>
        <v>MJ UEG</v>
      </c>
      <c r="D6" s="43"/>
      <c r="F6" s="365"/>
      <c r="G6" s="323" t="str">
        <f>IF(Textes!F$2=1,H6,IF(Textes!F$2=2,I6,IF(Textes!F$2=3,J6,"")))</f>
        <v>Masttruten</v>
      </c>
      <c r="H6" s="320" t="s">
        <v>799</v>
      </c>
      <c r="I6" s="320" t="s">
        <v>797</v>
      </c>
      <c r="J6" s="321"/>
      <c r="Q6" s="313">
        <f ca="1">LOOKUP($G$2,$S$2:AB4,S6:AB6)</f>
        <v>1757</v>
      </c>
      <c r="R6" s="313" t="str">
        <f ca="1">LOOKUP($G$2+0.5,$S$2:AB4,S6:AB6)</f>
        <v>Mastpoulets Stall 3</v>
      </c>
      <c r="S6" s="313">
        <v>1621</v>
      </c>
      <c r="T6" s="313" t="str">
        <f t="shared" si="0"/>
        <v>Zuchteber</v>
      </c>
      <c r="U6" s="313">
        <v>1755</v>
      </c>
      <c r="V6" s="313" t="str">
        <f>C41</f>
        <v>Junghennen</v>
      </c>
      <c r="W6" s="313">
        <v>1757</v>
      </c>
      <c r="X6" s="313" t="str">
        <f>A44</f>
        <v>Mastpoulets Stall 3</v>
      </c>
      <c r="Y6" s="313">
        <v>1762</v>
      </c>
      <c r="Z6" s="313" t="str">
        <f>A46</f>
        <v>Trutenvormast</v>
      </c>
      <c r="AA6" s="313">
        <v>1862</v>
      </c>
      <c r="AB6" s="313" t="str">
        <f>A49</f>
        <v>Jungtiere</v>
      </c>
    </row>
    <row r="7" spans="1:28" ht="15">
      <c r="A7" s="52" t="str">
        <f>IF(Textes!F$2=1,B7,IF(Textes!F$2=2,C7,IF(Textes!F$2=3,D7,"")))</f>
        <v>MJ UEG kg TS</v>
      </c>
      <c r="B7" s="52" t="str">
        <f>+B6&amp;" kg TS"</f>
        <v>MJ EMV kg TS</v>
      </c>
      <c r="C7" s="52" t="str">
        <f>+C6&amp;" kg TS"</f>
        <v>MJ UEG kg TS</v>
      </c>
      <c r="D7" s="43"/>
      <c r="F7" s="359"/>
      <c r="G7" s="366" t="str">
        <f>IF(Textes!F$2=1,H7,IF(Textes!F$2=2,I7,IF(Textes!F$2=3,J7,"")))</f>
        <v>Kaninchen</v>
      </c>
      <c r="H7" s="358" t="s">
        <v>451</v>
      </c>
      <c r="I7" s="358" t="s">
        <v>485</v>
      </c>
      <c r="J7" s="360"/>
      <c r="Q7" s="313">
        <f ca="1">LOOKUP($G$2,$S$2:AB5,S7:AB7)</f>
        <v>0</v>
      </c>
      <c r="R7" s="313">
        <f ca="1">LOOKUP($G$2+0.5,$S$2:AB5,S7:AB7)</f>
        <v>0</v>
      </c>
      <c r="S7" s="313">
        <v>1631</v>
      </c>
      <c r="T7" s="313" t="str">
        <f t="shared" si="0"/>
        <v>Abgesetzte Ferkel bis 25 kg LG</v>
      </c>
      <c r="Y7" s="313">
        <v>1762</v>
      </c>
      <c r="Z7" s="313" t="str">
        <f>A46</f>
        <v>Trutenvormast</v>
      </c>
      <c r="AA7" s="313">
        <v>1862</v>
      </c>
      <c r="AB7" s="313" t="str">
        <f>A49</f>
        <v>Jungtiere</v>
      </c>
    </row>
    <row r="8" spans="1:28">
      <c r="A8" s="52" t="str">
        <f>IF(Textes!F$2=1,B8,IF(Textes!F$2=2,C8,IF(Textes!F$2=3,D8,"")))</f>
        <v>Anfangs-/Endinventar</v>
      </c>
      <c r="B8" s="40" t="s">
        <v>486</v>
      </c>
      <c r="C8" s="52" t="s">
        <v>487</v>
      </c>
      <c r="D8" s="40"/>
      <c r="Q8" s="313">
        <f ca="1">LOOKUP($G$2,$S$2:AB6,S8:AB8)</f>
        <v>0</v>
      </c>
      <c r="R8" s="313">
        <f ca="1">LOOKUP($G$2+0.5,$S$2:AB6,S8:AB8)</f>
        <v>0</v>
      </c>
      <c r="S8" s="313">
        <v>1635</v>
      </c>
      <c r="T8" s="313" t="str">
        <f t="shared" si="0"/>
        <v>Saugferkel</v>
      </c>
      <c r="Y8" s="313">
        <v>1763</v>
      </c>
      <c r="Z8" s="313" t="str">
        <f>A47</f>
        <v>Trutenausmast</v>
      </c>
      <c r="AA8" s="313">
        <v>1863</v>
      </c>
      <c r="AB8" s="313" t="str">
        <f>A50</f>
        <v>Andere Kaninchen</v>
      </c>
    </row>
    <row r="9" spans="1:28">
      <c r="A9" s="52" t="str">
        <f>IF(Textes!F$2=1,B9,IF(Textes!F$2=2,C9,IF(Textes!F$2=3,D9,"")))</f>
        <v>Betriebs-Nr:</v>
      </c>
      <c r="B9" s="52" t="s">
        <v>488</v>
      </c>
      <c r="C9" s="52" t="s">
        <v>489</v>
      </c>
      <c r="D9" s="52"/>
      <c r="Q9" s="313">
        <f ca="1">LOOKUP($G$2,$S$2:AB7,S9:AB9)</f>
        <v>0</v>
      </c>
      <c r="R9" s="313">
        <f ca="1">LOOKUP($G$2+0.5,$S$2:AB7,S9:AB9)</f>
        <v>0</v>
      </c>
      <c r="S9" s="313">
        <v>1639</v>
      </c>
      <c r="T9" s="313" t="str">
        <f t="shared" si="0"/>
        <v>Mastschweine&amp;Remonten  &lt; 6 Mte</v>
      </c>
      <c r="Y9" s="313">
        <v>1763</v>
      </c>
      <c r="Z9" s="313" t="str">
        <f>A47</f>
        <v>Trutenausmast</v>
      </c>
      <c r="AA9" s="313">
        <v>1863</v>
      </c>
      <c r="AB9" s="313" t="str">
        <f>A50</f>
        <v>Andere Kaninchen</v>
      </c>
    </row>
    <row r="10" spans="1:28">
      <c r="A10" s="52" t="str">
        <f>IF(Textes!F$2=1,B10,IF(Textes!F$2=2,C10,IF(Textes!F$2=3,D10,"")))</f>
        <v>Name:</v>
      </c>
      <c r="B10" s="52" t="s">
        <v>490</v>
      </c>
      <c r="C10" s="52" t="s">
        <v>491</v>
      </c>
      <c r="D10" s="52"/>
      <c r="Q10" s="313">
        <f ca="1">LOOKUP($G$2,$S$2:AB8,S10:AB10)</f>
        <v>0</v>
      </c>
      <c r="R10" s="313">
        <f ca="1">LOOKUP($G$2+0.5,$S$2:AB8,S10:AB10)</f>
        <v>0</v>
      </c>
      <c r="S10" s="313">
        <v>1639</v>
      </c>
      <c r="T10" s="313" t="str">
        <f>A40</f>
        <v>Mastschweine&amp;Remonten  &lt; 6 Mte</v>
      </c>
    </row>
    <row r="11" spans="1:28">
      <c r="A11" s="52" t="str">
        <f>IF(Textes!F$2=1,B11,IF(Textes!F$2=2,C11,IF(Textes!F$2=3,D11,"")))</f>
        <v>Vorname:</v>
      </c>
      <c r="B11" s="52" t="s">
        <v>492</v>
      </c>
      <c r="C11" s="52" t="s">
        <v>493</v>
      </c>
      <c r="D11" s="52"/>
      <c r="Q11" s="313">
        <f ca="1">LOOKUP($G$2,$S$2:AB9,S11:AB11)</f>
        <v>0</v>
      </c>
      <c r="R11" s="313">
        <f ca="1">LOOKUP($G$2+0.5,$S$2:AB9,S11:AB11)</f>
        <v>0</v>
      </c>
      <c r="S11" s="313">
        <v>1639</v>
      </c>
      <c r="T11" s="313" t="str">
        <f>A40</f>
        <v>Mastschweine&amp;Remonten  &lt; 6 Mte</v>
      </c>
    </row>
    <row r="12" spans="1:28">
      <c r="A12" s="52" t="str">
        <f>IF(Textes!F$2=1,B12,IF(Textes!F$2=2,C12,IF(Textes!F$2=3,D12,"")))</f>
        <v>Adresszusatz:</v>
      </c>
      <c r="B12" s="52" t="s">
        <v>254</v>
      </c>
      <c r="C12" s="52" t="s">
        <v>344</v>
      </c>
      <c r="D12" s="52"/>
    </row>
    <row r="13" spans="1:28">
      <c r="A13" s="52" t="str">
        <f>IF(Textes!F$2=1,B13,IF(Textes!F$2=2,C13,IF(Textes!F$2=3,D13,"")))</f>
        <v>Adresse:</v>
      </c>
      <c r="B13" s="52" t="s">
        <v>494</v>
      </c>
      <c r="C13" s="52" t="s">
        <v>494</v>
      </c>
      <c r="D13" s="52"/>
    </row>
    <row r="14" spans="1:28">
      <c r="A14" s="52" t="str">
        <f>IF(Textes!F$2=1,B14,IF(Textes!F$2=2,C14,IF(Textes!F$2=3,D14,"")))</f>
        <v>PLZ, Ort:</v>
      </c>
      <c r="B14" s="52" t="s">
        <v>495</v>
      </c>
      <c r="C14" s="52" t="s">
        <v>496</v>
      </c>
      <c r="D14" s="52"/>
    </row>
    <row r="15" spans="1:28">
      <c r="A15" s="52" t="str">
        <f>IF(Textes!F$2=1,B15,IF(Textes!F$2=2,C15,IF(Textes!F$2=3,D15,"")))</f>
        <v>Berechnet durch:</v>
      </c>
      <c r="B15" s="52" t="s">
        <v>497</v>
      </c>
      <c r="C15" s="52" t="s">
        <v>498</v>
      </c>
      <c r="D15" s="52"/>
    </row>
    <row r="16" spans="1:28">
      <c r="A16" s="52" t="str">
        <f>IF(Textes!F$2=1,B16,IF(Textes!F$2=2,C16,IF(Textes!F$2=3,D16,"")))</f>
        <v>Firma:</v>
      </c>
      <c r="B16" s="52" t="s">
        <v>499</v>
      </c>
      <c r="C16" s="52" t="s">
        <v>500</v>
      </c>
      <c r="D16" s="52"/>
    </row>
    <row r="17" spans="1:4">
      <c r="A17" s="52" t="str">
        <f>IF(Textes!F$2=1,B17,IF(Textes!F$2=2,C17,IF(Textes!F$2=3,D17,"")))</f>
        <v>Telefon-Nr:</v>
      </c>
      <c r="B17" s="52" t="s">
        <v>501</v>
      </c>
      <c r="C17" s="52" t="s">
        <v>502</v>
      </c>
      <c r="D17" s="52"/>
    </row>
    <row r="18" spans="1:4">
      <c r="A18" s="52" t="str">
        <f>IF(Textes!F$2=1,B18,IF(Textes!F$2=2,C18,IF(Textes!F$2=3,D18,"")))</f>
        <v>Fax / E-Mail:</v>
      </c>
      <c r="B18" t="s">
        <v>324</v>
      </c>
      <c r="C18" t="s">
        <v>325</v>
      </c>
    </row>
    <row r="19" spans="1:4">
      <c r="A19" s="52" t="str">
        <f>IF(Textes!F$2=1,B19,IF(Textes!F$2=2,C19,IF(Textes!F$2=3,D19,"")))</f>
        <v>Periode:</v>
      </c>
      <c r="B19" s="52" t="s">
        <v>871</v>
      </c>
      <c r="C19" s="52" t="s">
        <v>872</v>
      </c>
      <c r="D19" s="52"/>
    </row>
    <row r="20" spans="1:4">
      <c r="A20" s="52" t="str">
        <f>IF(Textes!F$2=1,B20,IF(Textes!F$2=2,C20,IF(Textes!F$2=3,D20,"")))</f>
        <v>Datum Anfang:</v>
      </c>
      <c r="B20" s="52" t="s">
        <v>503</v>
      </c>
      <c r="C20" s="52" t="s">
        <v>38</v>
      </c>
      <c r="D20" s="52"/>
    </row>
    <row r="21" spans="1:4">
      <c r="A21" s="52" t="str">
        <f>IF(Textes!F$2=1,B21,IF(Textes!F$2=2,C21,IF(Textes!F$2=3,D21,"")))</f>
        <v>Datum Ende:</v>
      </c>
      <c r="B21" s="52" t="s">
        <v>504</v>
      </c>
      <c r="C21" s="52" t="s">
        <v>39</v>
      </c>
      <c r="D21" s="52"/>
    </row>
    <row r="22" spans="1:4">
      <c r="A22" s="52" t="str">
        <f>IF(Textes!F$2=1,B22,IF(Textes!F$2=2,C22,IF(Textes!F$2=3,D22,"")))</f>
        <v>Dauer in Tagen:</v>
      </c>
      <c r="B22" s="52" t="s">
        <v>874</v>
      </c>
      <c r="C22" s="52" t="s">
        <v>873</v>
      </c>
      <c r="D22" s="52"/>
    </row>
    <row r="23" spans="1:4">
      <c r="A23" s="52" t="str">
        <f>IF(Textes!F$2=1,B23,IF(Textes!F$2=2,C23,IF(Textes!F$2=3,D23,"")))</f>
        <v>Futtermittel erweitern</v>
      </c>
      <c r="B23" s="52" t="s">
        <v>362</v>
      </c>
      <c r="C23" s="52" t="s">
        <v>300</v>
      </c>
      <c r="D23" s="52"/>
    </row>
    <row r="24" spans="1:4">
      <c r="A24" s="52" t="str">
        <f>IF(Textes!F$2=1,B24,IF(Textes!F$2=2,C24,IF(Textes!F$2=3,D24,"")))</f>
        <v>Tierinventar</v>
      </c>
      <c r="B24" s="52" t="s">
        <v>505</v>
      </c>
      <c r="C24" s="52" t="s">
        <v>506</v>
      </c>
      <c r="D24" s="52"/>
    </row>
    <row r="25" spans="1:4">
      <c r="A25" s="52" t="str">
        <f>IF(Textes!F$2=1,B25,IF(Textes!F$2=2,C25,IF(Textes!F$2=3,D25,"")))</f>
        <v>maximale</v>
      </c>
      <c r="B25" s="52" t="s">
        <v>65</v>
      </c>
      <c r="C25" s="52" t="s">
        <v>326</v>
      </c>
      <c r="D25" s="52"/>
    </row>
    <row r="26" spans="1:4">
      <c r="A26" s="52" t="str">
        <f>IF(Textes!F$2=1,B26,IF(Textes!F$2=2,C26,IF(Textes!F$2=3,D26,"")))</f>
        <v>Stallplätze</v>
      </c>
      <c r="B26" s="52" t="s">
        <v>66</v>
      </c>
      <c r="C26" s="52" t="s">
        <v>327</v>
      </c>
      <c r="D26" s="52"/>
    </row>
    <row r="27" spans="1:4">
      <c r="A27" s="52" t="str">
        <f>IF(Textes!F$2=1,B27,IF(Textes!F$2=2,C27,IF(Textes!F$2=3,D27,"")))</f>
        <v>Anfang der Periode</v>
      </c>
      <c r="B27" s="52" t="s">
        <v>507</v>
      </c>
      <c r="C27" s="52" t="s">
        <v>508</v>
      </c>
      <c r="D27" s="52"/>
    </row>
    <row r="28" spans="1:4">
      <c r="A28" s="52" t="str">
        <f>IF(Textes!F$2=1,B28,IF(Textes!F$2=2,C28,IF(Textes!F$2=3,D28,"")))</f>
        <v>Ende der Periode</v>
      </c>
      <c r="B28" s="52" t="s">
        <v>509</v>
      </c>
      <c r="C28" s="52" t="s">
        <v>510</v>
      </c>
      <c r="D28" s="52"/>
    </row>
    <row r="29" spans="1:4">
      <c r="A29" s="52" t="str">
        <f>IF(Textes!F$2=1,B29,IF(Textes!F$2=2,C29,IF(Textes!F$2=3,D29,"")))</f>
        <v>Anzahl</v>
      </c>
      <c r="B29" s="52" t="s">
        <v>511</v>
      </c>
      <c r="C29" s="52" t="s">
        <v>443</v>
      </c>
      <c r="D29" s="52"/>
    </row>
    <row r="30" spans="1:4">
      <c r="A30" s="52" t="str">
        <f>IF(Textes!F$2=1,B30,IF(Textes!F$2=2,C30,IF(Textes!F$2=3,D30,"")))</f>
        <v>Gewicht</v>
      </c>
      <c r="B30" s="52" t="s">
        <v>512</v>
      </c>
      <c r="C30" s="52" t="s">
        <v>461</v>
      </c>
      <c r="D30" s="52"/>
    </row>
    <row r="31" spans="1:4">
      <c r="A31" s="52" t="str">
        <f>IF(Textes!F$2=1,B31,IF(Textes!F$2=2,C31,IF(Textes!F$2=3,D31,"")))</f>
        <v>LG/Tier</v>
      </c>
      <c r="B31" s="52" t="s">
        <v>513</v>
      </c>
      <c r="C31" s="52" t="s">
        <v>514</v>
      </c>
      <c r="D31" s="45"/>
    </row>
    <row r="32" spans="1:4">
      <c r="A32" s="52" t="str">
        <f>IF(Textes!F$2=1,B32,IF(Textes!F$2=2,C32,IF(Textes!F$2=3,D32,"")))</f>
        <v>LG</v>
      </c>
      <c r="B32" s="45" t="s">
        <v>515</v>
      </c>
      <c r="C32" s="45" t="s">
        <v>516</v>
      </c>
      <c r="D32" s="45"/>
    </row>
    <row r="33" spans="1:4">
      <c r="A33" s="52" t="str">
        <f>IF(Textes!F$2=1,B33,IF(Textes!F$2=2,C33,IF(Textes!F$2=3,D33,"")))</f>
        <v>Code</v>
      </c>
      <c r="B33" s="45" t="s">
        <v>361</v>
      </c>
      <c r="C33" s="45" t="s">
        <v>361</v>
      </c>
      <c r="D33" s="45"/>
    </row>
    <row r="34" spans="1:4">
      <c r="A34" s="52" t="str">
        <f>IF(Textes!F$2=1,B34,IF(Textes!F$2=2,C34,IF(Textes!F$2=3,D34,"")))</f>
        <v>Tierkategorie</v>
      </c>
      <c r="B34" s="45" t="s">
        <v>724</v>
      </c>
      <c r="C34" s="45" t="s">
        <v>725</v>
      </c>
      <c r="D34" s="45"/>
    </row>
    <row r="35" spans="1:4">
      <c r="A35" s="52" t="str">
        <f>IF(Textes!F$2=1,B35,IF(Textes!F$2=2,C35,IF(Textes!F$2=3,D35,"")))</f>
        <v>Säugende Zuchtsauen</v>
      </c>
      <c r="B35" s="422" t="s">
        <v>255</v>
      </c>
      <c r="C35" s="313" t="s">
        <v>735</v>
      </c>
      <c r="D35" s="45"/>
    </row>
    <row r="36" spans="1:4">
      <c r="A36" s="52" t="str">
        <f>IF(Textes!F$2=1,B36,IF(Textes!F$2=2,C36,IF(Textes!F$2=3,D36,"")))</f>
        <v>Nicht säugende Zuchtsauen &gt; 6 Mte</v>
      </c>
      <c r="B36" s="422" t="s">
        <v>256</v>
      </c>
      <c r="C36" s="313" t="s">
        <v>349</v>
      </c>
      <c r="D36" s="45"/>
    </row>
    <row r="37" spans="1:4">
      <c r="A37" s="52" t="str">
        <f>IF(Textes!F$2=1,B37,IF(Textes!F$2=2,C37,IF(Textes!F$2=3,D37,"")))</f>
        <v>Zuchteber</v>
      </c>
      <c r="B37" s="422" t="s">
        <v>257</v>
      </c>
      <c r="C37" s="313" t="s">
        <v>350</v>
      </c>
      <c r="D37" s="45"/>
    </row>
    <row r="38" spans="1:4">
      <c r="A38" s="52" t="str">
        <f>IF(Textes!F$2=1,B38,IF(Textes!F$2=2,C38,IF(Textes!F$2=3,D38,"")))</f>
        <v>Abgesetzte Ferkel bis 25 kg LG</v>
      </c>
      <c r="B38" s="422" t="s">
        <v>258</v>
      </c>
      <c r="C38" s="313" t="s">
        <v>253</v>
      </c>
      <c r="D38" s="45"/>
    </row>
    <row r="39" spans="1:4">
      <c r="A39" s="52" t="str">
        <f>IF(Textes!F$2=1,B39,IF(Textes!F$2=2,C39,IF(Textes!F$2=3,D39,"")))</f>
        <v>Saugferkel</v>
      </c>
      <c r="B39" s="52" t="s">
        <v>259</v>
      </c>
      <c r="C39" s="626" t="s">
        <v>351</v>
      </c>
      <c r="D39" s="45"/>
    </row>
    <row r="40" spans="1:4">
      <c r="A40" s="52" t="str">
        <f>IF(Textes!F$2=1,B40,IF(Textes!F$2=2,C40,IF(Textes!F$2=3,D40,"")))</f>
        <v>Mastschweine&amp;Remonten  &lt; 6 Mte</v>
      </c>
      <c r="B40" s="52" t="s">
        <v>266</v>
      </c>
      <c r="C40" s="40" t="s">
        <v>252</v>
      </c>
      <c r="D40" s="45"/>
    </row>
    <row r="41" spans="1:4">
      <c r="A41" s="52" t="str">
        <f>IF(Textes!F$2=1,B41,IF(Textes!F$2=2,C41,IF(Textes!F$2=3,D41,"")))</f>
        <v>Junghennen</v>
      </c>
      <c r="B41" s="52" t="s">
        <v>267</v>
      </c>
      <c r="C41" s="626" t="s">
        <v>480</v>
      </c>
      <c r="D41" s="45"/>
    </row>
    <row r="42" spans="1:4">
      <c r="A42" s="52" t="str">
        <f>IF(Textes!F$2=1,B42,IF(Textes!F$2=2,C42,IF(Textes!F$2=3,D42,"")))</f>
        <v>Mastpoulets Stall 1</v>
      </c>
      <c r="B42" s="52" t="s">
        <v>241</v>
      </c>
      <c r="C42" s="40" t="s">
        <v>352</v>
      </c>
      <c r="D42" s="45"/>
    </row>
    <row r="43" spans="1:4">
      <c r="A43" s="52" t="str">
        <f>IF(Textes!F$2=1,B43,IF(Textes!F$2=2,C43,IF(Textes!F$2=3,D43,"")))</f>
        <v>Mastpoulets Stall 2</v>
      </c>
      <c r="B43" s="52" t="s">
        <v>242</v>
      </c>
      <c r="C43" s="40" t="s">
        <v>353</v>
      </c>
      <c r="D43" s="45"/>
    </row>
    <row r="44" spans="1:4">
      <c r="A44" s="52" t="str">
        <f>IF(Textes!F$2=1,B44,IF(Textes!F$2=2,C44,IF(Textes!F$2=3,D44,"")))</f>
        <v>Mastpoulets Stall 3</v>
      </c>
      <c r="B44" s="52" t="s">
        <v>243</v>
      </c>
      <c r="C44" s="40" t="s">
        <v>354</v>
      </c>
      <c r="D44" s="45"/>
    </row>
    <row r="45" spans="1:4">
      <c r="A45" s="52" t="str">
        <f>IF(Textes!F$2=1,B45,IF(Textes!F$2=2,C45,IF(Textes!F$2=3,D45,"")))</f>
        <v>Truten jeden Alters</v>
      </c>
      <c r="B45" s="52" t="s">
        <v>260</v>
      </c>
      <c r="C45" s="626" t="s">
        <v>355</v>
      </c>
      <c r="D45" s="45"/>
    </row>
    <row r="46" spans="1:4">
      <c r="A46" s="52" t="str">
        <f>IF(Textes!F$2=1,B46,IF(Textes!F$2=2,C46,IF(Textes!F$2=3,D46,"")))</f>
        <v>Trutenvormast</v>
      </c>
      <c r="B46" s="52" t="s">
        <v>261</v>
      </c>
      <c r="C46" s="626" t="s">
        <v>356</v>
      </c>
      <c r="D46" s="45"/>
    </row>
    <row r="47" spans="1:4">
      <c r="A47" s="52" t="str">
        <f>IF(Textes!F$2=1,B47,IF(Textes!F$2=2,C47,IF(Textes!F$2=3,D47,"")))</f>
        <v>Trutenausmast</v>
      </c>
      <c r="B47" s="52" t="s">
        <v>262</v>
      </c>
      <c r="C47" s="626" t="s">
        <v>357</v>
      </c>
      <c r="D47" s="45"/>
    </row>
    <row r="48" spans="1:4">
      <c r="A48" s="52" t="str">
        <f>IF(Textes!F$2=1,B48,IF(Textes!F$2=2,C48,IF(Textes!F$2=3,D48,"")))</f>
        <v>Produz. Zibbe</v>
      </c>
      <c r="B48" s="52" t="s">
        <v>265</v>
      </c>
      <c r="C48" s="626" t="s">
        <v>358</v>
      </c>
      <c r="D48" s="45"/>
    </row>
    <row r="49" spans="1:4">
      <c r="A49" s="52" t="str">
        <f>IF(Textes!F$2=1,B49,IF(Textes!F$2=2,C49,IF(Textes!F$2=3,D49,"")))</f>
        <v>Jungtiere</v>
      </c>
      <c r="B49" s="52" t="s">
        <v>263</v>
      </c>
      <c r="C49" s="626" t="s">
        <v>359</v>
      </c>
      <c r="D49" s="45"/>
    </row>
    <row r="50" spans="1:4">
      <c r="A50" s="52" t="str">
        <f>IF(Textes!F$2=1,B50,IF(Textes!F$2=2,C50,IF(Textes!F$2=3,D50,"")))</f>
        <v>Andere Kaninchen</v>
      </c>
      <c r="B50" s="52" t="s">
        <v>264</v>
      </c>
      <c r="C50" s="626" t="s">
        <v>360</v>
      </c>
      <c r="D50" s="45"/>
    </row>
    <row r="51" spans="1:4">
      <c r="A51" s="52" t="str">
        <f>IF(Textes!F$2=1,B51,IF(Textes!F$2=2,C51,IF(Textes!F$2=3,D51,"")))</f>
        <v>Total Tierinventar</v>
      </c>
      <c r="B51" s="45" t="s">
        <v>517</v>
      </c>
      <c r="C51" s="45" t="s">
        <v>518</v>
      </c>
      <c r="D51" s="45"/>
    </row>
    <row r="52" spans="1:4">
      <c r="A52" s="52" t="str">
        <f>IF(Textes!F$2=1,B52,IF(Textes!F$2=2,C52,IF(Textes!F$2=3,D52,"")))</f>
        <v>Futtermittelinventar</v>
      </c>
      <c r="B52" s="45" t="s">
        <v>519</v>
      </c>
      <c r="C52" s="45" t="s">
        <v>520</v>
      </c>
      <c r="D52" s="45"/>
    </row>
    <row r="53" spans="1:4">
      <c r="A53" s="52" t="str">
        <f>IF(Textes!F$2=1,B53,IF(Textes!F$2=2,C53,IF(Textes!F$2=3,D53,"")))</f>
        <v>Mischfuttermittel</v>
      </c>
      <c r="B53" s="45" t="s">
        <v>521</v>
      </c>
      <c r="C53" s="45" t="s">
        <v>523</v>
      </c>
      <c r="D53" s="45"/>
    </row>
    <row r="54" spans="1:4">
      <c r="A54" s="52" t="str">
        <f>IF(Textes!F$2=1,B54,IF(Textes!F$2=2,C54,IF(Textes!F$2=3,D54,"")))</f>
        <v>Gehalte in kg Futter</v>
      </c>
      <c r="B54" s="45" t="s">
        <v>524</v>
      </c>
      <c r="C54" s="45" t="s">
        <v>525</v>
      </c>
      <c r="D54" s="45"/>
    </row>
    <row r="55" spans="1:4">
      <c r="A55" s="52" t="str">
        <f>IF(Textes!F$2=1,B55,IF(Textes!F$2=2,C55,IF(Textes!F$2=3,D55,"")))</f>
        <v>TS in %</v>
      </c>
      <c r="B55" s="45" t="s">
        <v>526</v>
      </c>
      <c r="C55" s="45" t="s">
        <v>527</v>
      </c>
      <c r="D55" s="45"/>
    </row>
    <row r="56" spans="1:4">
      <c r="A56" s="52" t="str">
        <f>IF(Textes!F$2=1,B56,IF(Textes!F$2=2,C56,IF(Textes!F$2=3,D56,"")))</f>
        <v>g RP</v>
      </c>
      <c r="B56" s="45" t="s">
        <v>528</v>
      </c>
      <c r="C56" s="45" t="s">
        <v>529</v>
      </c>
      <c r="D56" s="45"/>
    </row>
    <row r="57" spans="1:4">
      <c r="A57" s="52" t="str">
        <f>IF(Textes!F$2=1,B57,IF(Textes!F$2=2,C57,IF(Textes!F$2=3,D57,"")))</f>
        <v>g P</v>
      </c>
      <c r="B57" s="45" t="s">
        <v>530</v>
      </c>
      <c r="C57" s="45" t="s">
        <v>530</v>
      </c>
      <c r="D57" s="45"/>
    </row>
    <row r="58" spans="1:4">
      <c r="A58" s="52" t="str">
        <f>IF(Textes!F$2=1,B58,IF(Textes!F$2=2,C58,IF(Textes!F$2=3,D58,"")))</f>
        <v>Anfang</v>
      </c>
      <c r="B58" s="45" t="s">
        <v>531</v>
      </c>
      <c r="C58" s="45" t="s">
        <v>438</v>
      </c>
      <c r="D58" s="45"/>
    </row>
    <row r="59" spans="1:4">
      <c r="A59" s="52" t="str">
        <f>IF(Textes!F$2=1,B59,IF(Textes!F$2=2,C59,IF(Textes!F$2=3,D59,"")))</f>
        <v>Ende</v>
      </c>
      <c r="B59" s="45" t="s">
        <v>532</v>
      </c>
      <c r="C59" s="45" t="s">
        <v>439</v>
      </c>
      <c r="D59" s="45"/>
    </row>
    <row r="60" spans="1:4">
      <c r="A60" s="52" t="str">
        <f>IF(Textes!F$2=1,B60,IF(Textes!F$2=2,C60,IF(Textes!F$2=3,D60,"")))</f>
        <v>Menge in kg Futter</v>
      </c>
      <c r="B60" s="45" t="s">
        <v>533</v>
      </c>
      <c r="C60" s="45" t="s">
        <v>534</v>
      </c>
      <c r="D60" s="45"/>
    </row>
    <row r="61" spans="1:4">
      <c r="A61" s="52" t="str">
        <f>IF(Textes!F$2=1,B61,IF(Textes!F$2=2,C61,IF(Textes!F$2=3,D61,"")))</f>
        <v>Andere Futtermittel</v>
      </c>
      <c r="B61" s="45" t="s">
        <v>535</v>
      </c>
      <c r="C61" s="45" t="s">
        <v>536</v>
      </c>
      <c r="D61" s="45"/>
    </row>
    <row r="62" spans="1:4">
      <c r="A62" s="52" t="str">
        <f>IF(Textes!F$2=1,B62,IF(Textes!F$2=2,C62,IF(Textes!F$2=3,D62,"")))</f>
        <v>Gehalte in kg TS</v>
      </c>
      <c r="B62" s="45" t="s">
        <v>537</v>
      </c>
      <c r="C62" s="45" t="s">
        <v>538</v>
      </c>
      <c r="D62" s="45"/>
    </row>
    <row r="63" spans="1:4">
      <c r="A63" s="52" t="str">
        <f>IF(Textes!F$2=1,B63,IF(Textes!F$2=2,C63,IF(Textes!F$2=3,D63,"")))</f>
        <v>Menge in kg FS</v>
      </c>
      <c r="B63" s="45" t="s">
        <v>539</v>
      </c>
      <c r="C63" s="45" t="s">
        <v>540</v>
      </c>
      <c r="D63" s="45"/>
    </row>
    <row r="64" spans="1:4">
      <c r="A64" s="52" t="str">
        <f>IF(Textes!F$2=1,B64,IF(Textes!F$2=2,C64,IF(Textes!F$2=3,D64,"")))</f>
        <v>Raufutter</v>
      </c>
      <c r="B64" s="45" t="s">
        <v>541</v>
      </c>
      <c r="C64" s="45" t="s">
        <v>542</v>
      </c>
      <c r="D64" s="45"/>
    </row>
    <row r="65" spans="1:4">
      <c r="A65" s="52" t="str">
        <f>IF(Textes!F$2=1,B65,IF(Textes!F$2=2,C65,IF(Textes!F$2=3,D65,"")))</f>
        <v>Menge in kg TS</v>
      </c>
      <c r="B65" s="45" t="s">
        <v>543</v>
      </c>
      <c r="C65" s="45" t="s">
        <v>544</v>
      </c>
      <c r="D65" s="45"/>
    </row>
    <row r="66" spans="1:4">
      <c r="A66" s="52" t="str">
        <f>IF(Textes!F$2=1,B66,IF(Textes!F$2=2,C66,IF(Textes!F$2=3,D66,"")))</f>
        <v>Mais ganze Pflanze</v>
      </c>
      <c r="B66" s="45" t="s">
        <v>545</v>
      </c>
      <c r="C66" s="45" t="s">
        <v>546</v>
      </c>
      <c r="D66" s="45"/>
    </row>
    <row r="67" spans="1:4">
      <c r="A67" s="52" t="str">
        <f>IF(Textes!F$2=1,B67,IF(Textes!F$2=2,C67,IF(Textes!F$2=3,D67,"")))</f>
        <v>Wiesenfutter (Gras, Silo, ...)</v>
      </c>
      <c r="B67" s="45" t="s">
        <v>547</v>
      </c>
      <c r="C67" s="45" t="s">
        <v>548</v>
      </c>
      <c r="D67" s="45"/>
    </row>
    <row r="68" spans="1:4">
      <c r="A68" s="52" t="str">
        <f>IF(Textes!F$2=1,B68,IF(Textes!F$2=2,C68,IF(Textes!F$2=3,D68,"")))</f>
        <v>Schotte</v>
      </c>
      <c r="B68" s="45" t="s">
        <v>549</v>
      </c>
      <c r="C68" s="45" t="s">
        <v>550</v>
      </c>
      <c r="D68" s="45"/>
    </row>
    <row r="69" spans="1:4">
      <c r="A69" s="52" t="str">
        <f>IF(Textes!F$2=1,B69,IF(Textes!F$2=2,C69,IF(Textes!F$2=3,D69,"")))</f>
        <v>CCM</v>
      </c>
      <c r="B69" s="45" t="s">
        <v>551</v>
      </c>
      <c r="C69" s="45" t="s">
        <v>551</v>
      </c>
      <c r="D69" s="45"/>
    </row>
    <row r="70" spans="1:4">
      <c r="A70" s="52" t="str">
        <f>IF(Textes!F$2=1,B70,IF(Textes!F$2=2,C70,IF(Textes!F$2=3,D70,"")))</f>
        <v>Kantonale Kontrollstelle, Datum:</v>
      </c>
      <c r="B70" s="45" t="s">
        <v>552</v>
      </c>
      <c r="C70" s="45" t="s">
        <v>553</v>
      </c>
      <c r="D70" s="45"/>
    </row>
    <row r="71" spans="1:4">
      <c r="A71" s="52" t="str">
        <f>IF(Textes!F$2=1,B71,IF(Textes!F$2=2,C71,IF(Textes!F$2=3,D71,"")))</f>
        <v>Unterschrift:</v>
      </c>
      <c r="B71" s="45" t="s">
        <v>554</v>
      </c>
      <c r="C71" s="45" t="s">
        <v>555</v>
      </c>
      <c r="D71" s="45"/>
    </row>
    <row r="72" spans="1:4">
      <c r="A72" s="52" t="str">
        <f>IF(Textes!F$2=1,B72,IF(Textes!F$2=2,C72,IF(Textes!F$2=3,D72,"")))</f>
        <v>Der Betriebsleiter bestätigt die Vollständigkeit der Angaben auf diesem Inventarblatt, wie auch auf den</v>
      </c>
      <c r="B72" s="45" t="s">
        <v>556</v>
      </c>
      <c r="C72" s="45" t="s">
        <v>557</v>
      </c>
      <c r="D72" s="45"/>
    </row>
    <row r="73" spans="1:4">
      <c r="A73" s="52" t="str">
        <f>IF(Textes!F$2=1,B73,IF(Textes!F$2=2,C73,IF(Textes!F$2=3,D73,"")))</f>
        <v>dazugehörigen Aufzeichnungen Tiereingang, Tierausgang und Futterzufuhren.</v>
      </c>
      <c r="B73" s="45" t="s">
        <v>558</v>
      </c>
      <c r="C73" s="45" t="s">
        <v>559</v>
      </c>
      <c r="D73" s="45"/>
    </row>
    <row r="74" spans="1:4" ht="12.75" customHeight="1">
      <c r="A74" s="52" t="str">
        <f>IF(Textes!F$2=1,B74,IF(Textes!F$2=2,C74,IF(Textes!F$2=3,D74,"")))</f>
        <v>Betriebsleiter, Datum:</v>
      </c>
      <c r="B74" s="45" t="s">
        <v>560</v>
      </c>
      <c r="C74" s="45" t="s">
        <v>561</v>
      </c>
      <c r="D74" s="40"/>
    </row>
    <row r="75" spans="1:4" ht="20.25">
      <c r="A75" s="52" t="str">
        <f>IF(Textes!F$2=1,B75,IF(Textes!F$2=2,C75,IF(Textes!F$2=3,D75,"")))</f>
        <v>Unterschrift Betriebsleiter:</v>
      </c>
      <c r="B75" s="45" t="s">
        <v>562</v>
      </c>
      <c r="C75" s="45" t="s">
        <v>563</v>
      </c>
      <c r="D75" s="326"/>
    </row>
    <row r="76" spans="1:4">
      <c r="A76" s="52" t="str">
        <f>IF(Textes!F$2=1,B76,IF(Textes!F$2=2,C76,IF(Textes!F$2=3,D76,"")))</f>
        <v xml:space="preserve">Tiereingang </v>
      </c>
      <c r="B76" s="327" t="s">
        <v>564</v>
      </c>
      <c r="C76" s="327" t="s">
        <v>565</v>
      </c>
      <c r="D76" s="327"/>
    </row>
    <row r="77" spans="1:4">
      <c r="A77" s="52" t="str">
        <f>IF(Textes!F$2=1,B77,IF(Textes!F$2=2,C77,IF(Textes!F$2=3,D77,"")))</f>
        <v>Zufuhr Tiere bis 60 kg LG</v>
      </c>
      <c r="B77" s="327" t="s">
        <v>566</v>
      </c>
      <c r="C77" s="327" t="s">
        <v>567</v>
      </c>
      <c r="D77" s="40"/>
    </row>
    <row r="78" spans="1:4">
      <c r="A78" s="52" t="str">
        <f>IF(Textes!F$2=1,B78,IF(Textes!F$2=2,C78,IF(Textes!F$2=3,D78,"")))</f>
        <v>Zufuhr Tiere über 60 kg LG</v>
      </c>
      <c r="B78" s="327" t="s">
        <v>568</v>
      </c>
      <c r="C78" s="327" t="s">
        <v>569</v>
      </c>
      <c r="D78" s="40"/>
    </row>
    <row r="79" spans="1:4">
      <c r="A79" s="52" t="str">
        <f>IF(Textes!F$2=1,B79,IF(Textes!F$2=2,C79,IF(Textes!F$2=3,D79,"")))</f>
        <v>Zufuhr Tiere</v>
      </c>
      <c r="B79" s="327" t="s">
        <v>564</v>
      </c>
      <c r="C79" s="327" t="s">
        <v>570</v>
      </c>
      <c r="D79" s="328"/>
    </row>
    <row r="80" spans="1:4">
      <c r="A80" s="52" t="str">
        <f>IF(Textes!F$2=1,B80,IF(Textes!F$2=2,C80,IF(Textes!F$2=3,D80,"")))</f>
        <v>Datum</v>
      </c>
      <c r="B80" s="327" t="s">
        <v>571</v>
      </c>
      <c r="C80" s="327" t="s">
        <v>572</v>
      </c>
      <c r="D80" s="328"/>
    </row>
    <row r="81" spans="1:4">
      <c r="A81" s="52" t="str">
        <f>IF(Textes!F$2=1,B81,IF(Textes!F$2=2,C81,IF(Textes!F$2=3,D81,"")))</f>
        <v>Stück</v>
      </c>
      <c r="B81" s="327" t="s">
        <v>511</v>
      </c>
      <c r="C81" s="327" t="s">
        <v>573</v>
      </c>
      <c r="D81" s="328"/>
    </row>
    <row r="82" spans="1:4">
      <c r="A82" s="52" t="str">
        <f>IF(Textes!F$2=1,B82,IF(Textes!F$2=2,C82,IF(Textes!F$2=3,D82,"")))</f>
        <v>kg LG total</v>
      </c>
      <c r="B82" s="327" t="s">
        <v>575</v>
      </c>
      <c r="C82" s="327" t="s">
        <v>576</v>
      </c>
      <c r="D82" s="328"/>
    </row>
    <row r="83" spans="1:4">
      <c r="A83" s="52" t="str">
        <f>IF(Textes!F$2=1,B83,IF(Textes!F$2=2,C83,IF(Textes!F$2=3,D83,"")))</f>
        <v>Total Zufuhr</v>
      </c>
      <c r="B83" s="329" t="s">
        <v>577</v>
      </c>
      <c r="C83" s="330" t="s">
        <v>578</v>
      </c>
      <c r="D83" s="328"/>
    </row>
    <row r="84" spans="1:4">
      <c r="A84" s="52" t="str">
        <f>IF(Textes!F$2=1,B84,IF(Textes!F$2=2,C84,IF(Textes!F$2=3,D84,"")))</f>
        <v>Kantonale Kontrollstelle       Datum:</v>
      </c>
      <c r="B84" s="45" t="s">
        <v>579</v>
      </c>
      <c r="C84" s="45" t="s">
        <v>580</v>
      </c>
      <c r="D84" s="328"/>
    </row>
    <row r="85" spans="1:4">
      <c r="A85" s="52" t="str">
        <f>IF(Textes!F$2=1,B85,IF(Textes!F$2=2,C85,IF(Textes!F$2=3,D85,"")))</f>
        <v>Unterschrift:</v>
      </c>
      <c r="B85" s="45" t="s">
        <v>554</v>
      </c>
      <c r="C85" s="45" t="s">
        <v>555</v>
      </c>
      <c r="D85" s="328"/>
    </row>
    <row r="86" spans="1:4">
      <c r="A86" s="52" t="str">
        <f>IF(Textes!F$2=1,B86,IF(Textes!F$2=2,C86,IF(Textes!F$2=3,D86,"")))</f>
        <v>Tierausgang</v>
      </c>
      <c r="B86" s="327" t="s">
        <v>589</v>
      </c>
      <c r="C86" s="327" t="s">
        <v>785</v>
      </c>
    </row>
    <row r="87" spans="1:4">
      <c r="A87" s="52" t="str">
        <f>IF(Textes!F$2=1,B87,IF(Textes!F$2=2,C87,IF(Textes!F$2=3,D87,"")))</f>
        <v>Korrekte Tierkategorie für die Eingabe in kg SG wählen!</v>
      </c>
      <c r="B87" s="327" t="s">
        <v>370</v>
      </c>
      <c r="C87" s="327" t="s">
        <v>428</v>
      </c>
    </row>
    <row r="88" spans="1:4">
      <c r="A88" s="52" t="str">
        <f>IF(Textes!F$2=1,B88,IF(Textes!F$2=2,C88,IF(Textes!F$2=3,D88,"")))</f>
        <v>kg SG total *</v>
      </c>
      <c r="B88" s="327" t="s">
        <v>581</v>
      </c>
      <c r="C88" s="327" t="s">
        <v>582</v>
      </c>
    </row>
    <row r="89" spans="1:4" ht="14.25">
      <c r="A89" s="52" t="str">
        <f>IF(Textes!F$2=1,B89,IF(Textes!F$2=2,C89,IF(Textes!F$2=3,D89,"")))</f>
        <v xml:space="preserve"> Mit Angabe der Tierverkäufe, der Eigenversorgung und der Abgänge</v>
      </c>
      <c r="B89" s="327" t="s">
        <v>583</v>
      </c>
      <c r="C89" s="331" t="s">
        <v>584</v>
      </c>
    </row>
    <row r="90" spans="1:4">
      <c r="A90" s="52" t="str">
        <f>IF(Textes!F$2=1,B90,IF(Textes!F$2=2,C90,IF(Textes!F$2=3,D90,"")))</f>
        <v>Wegfuhr Tiere bis 60 kg LG</v>
      </c>
      <c r="B90" s="327" t="s">
        <v>585</v>
      </c>
      <c r="C90" s="327" t="s">
        <v>586</v>
      </c>
    </row>
    <row r="91" spans="1:4">
      <c r="A91" s="52" t="str">
        <f>IF(Textes!F$2=1,B91,IF(Textes!F$2=2,C91,IF(Textes!F$2=3,D91,"")))</f>
        <v>Wegfuhr Tiere über 60 kg LG</v>
      </c>
      <c r="B91" s="327" t="s">
        <v>587</v>
      </c>
      <c r="C91" s="327" t="s">
        <v>588</v>
      </c>
    </row>
    <row r="92" spans="1:4">
      <c r="A92" s="52" t="str">
        <f>IF(Textes!F$2=1,B92,IF(Textes!F$2=2,C92,IF(Textes!F$2=3,D92,"")))</f>
        <v>Wegfuhr Tiere</v>
      </c>
      <c r="B92" s="327" t="s">
        <v>589</v>
      </c>
      <c r="C92" s="327" t="s">
        <v>590</v>
      </c>
    </row>
    <row r="93" spans="1:4">
      <c r="A93" s="52" t="str">
        <f>IF(Textes!F$2=1,B93,IF(Textes!F$2=2,C93,IF(Textes!F$2=3,D93,"")))</f>
        <v>Datum</v>
      </c>
      <c r="B93" s="327" t="s">
        <v>571</v>
      </c>
      <c r="C93" s="327" t="s">
        <v>572</v>
      </c>
    </row>
    <row r="94" spans="1:4">
      <c r="A94" s="52" t="str">
        <f>IF(Textes!F$2=1,B94,IF(Textes!F$2=2,C94,IF(Textes!F$2=3,D94,"")))</f>
        <v>Stück</v>
      </c>
      <c r="B94" s="327" t="s">
        <v>511</v>
      </c>
      <c r="C94" s="327" t="s">
        <v>573</v>
      </c>
    </row>
    <row r="95" spans="1:4">
      <c r="A95" s="52" t="str">
        <f>IF(Textes!F$2=1,B95,IF(Textes!F$2=2,C95,IF(Textes!F$2=3,D95,"")))</f>
        <v>kg LG total</v>
      </c>
      <c r="B95" s="327" t="s">
        <v>575</v>
      </c>
      <c r="C95" s="327" t="s">
        <v>576</v>
      </c>
    </row>
    <row r="96" spans="1:4">
      <c r="A96" s="52" t="str">
        <f>IF(Textes!F$2=1,B96,IF(Textes!F$2=2,C96,IF(Textes!F$2=3,D96,"")))</f>
        <v>Total Wegfuhr</v>
      </c>
      <c r="B96" s="329" t="s">
        <v>591</v>
      </c>
      <c r="C96" s="330" t="s">
        <v>592</v>
      </c>
    </row>
    <row r="97" spans="1:4">
      <c r="A97" s="52" t="str">
        <f>IF(Textes!F$2=1,B97,IF(Textes!F$2=2,C97,IF(Textes!F$2=3,D97,"")))</f>
        <v>Kantonale Kontrollstelle              Datum:</v>
      </c>
      <c r="B97" s="45" t="s">
        <v>593</v>
      </c>
      <c r="C97" s="45" t="s">
        <v>594</v>
      </c>
    </row>
    <row r="98" spans="1:4">
      <c r="A98" s="52" t="str">
        <f>IF(Textes!F$2=1,B98,IF(Textes!F$2=2,C98,IF(Textes!F$2=3,D98,"")))</f>
        <v>Unterschrift:</v>
      </c>
      <c r="B98" s="45" t="s">
        <v>554</v>
      </c>
      <c r="C98" s="45" t="s">
        <v>555</v>
      </c>
    </row>
    <row r="99" spans="1:4">
      <c r="A99" s="52" t="str">
        <f>IF(Textes!F$2=1,B99,IF(Textes!F$2=2,C99,IF(Textes!F$2=3,D99,"")))</f>
        <v>* = je nach Abrechnungsart Schweineverkauf kg SG oder kg LG eintragen</v>
      </c>
      <c r="B99" s="328" t="s">
        <v>595</v>
      </c>
      <c r="C99" s="328" t="s">
        <v>596</v>
      </c>
    </row>
    <row r="100" spans="1:4">
      <c r="A100" s="52" t="str">
        <f>IF(Textes!F$2=1,B100,IF(Textes!F$2=2,C100,IF(Textes!F$2=3,D100,"")))</f>
        <v>Mischfutterzufuhr</v>
      </c>
      <c r="B100" s="52" t="s">
        <v>597</v>
      </c>
      <c r="C100" s="52" t="s">
        <v>598</v>
      </c>
      <c r="D100" s="52"/>
    </row>
    <row r="101" spans="1:4">
      <c r="A101" s="52" t="str">
        <f>IF(Textes!F$2=1,B101,IF(Textes!F$2=2,C101,IF(Textes!F$2=3,D101,"")))</f>
        <v>Futterzufuhr</v>
      </c>
      <c r="B101" s="52" t="s">
        <v>597</v>
      </c>
      <c r="C101" s="52" t="s">
        <v>599</v>
      </c>
      <c r="D101" s="52"/>
    </row>
    <row r="102" spans="1:4">
      <c r="A102" s="52" t="str">
        <f>IF(Textes!F$2=1,B102,IF(Textes!F$2=2,C102,IF(Textes!F$2=3,D102,"")))</f>
        <v>Futterlieferant</v>
      </c>
      <c r="B102" s="52" t="s">
        <v>600</v>
      </c>
      <c r="C102" s="52" t="s">
        <v>522</v>
      </c>
      <c r="D102" s="52"/>
    </row>
    <row r="103" spans="1:4">
      <c r="A103" s="52" t="str">
        <f>IF(Textes!F$2=1,B103,IF(Textes!F$2=2,C103,IF(Textes!F$2=3,D103,"")))</f>
        <v>pro kg Futter</v>
      </c>
      <c r="B103" s="52" t="s">
        <v>601</v>
      </c>
      <c r="C103" s="52" t="s">
        <v>602</v>
      </c>
      <c r="D103" s="52"/>
    </row>
    <row r="104" spans="1:4">
      <c r="A104" s="52" t="str">
        <f>IF(Textes!F$2=1,B104,IF(Textes!F$2=2,C104,IF(Textes!F$2=3,D104,"")))</f>
        <v>Datum</v>
      </c>
      <c r="B104" s="52" t="s">
        <v>571</v>
      </c>
      <c r="C104" s="52" t="s">
        <v>572</v>
      </c>
      <c r="D104" s="52"/>
    </row>
    <row r="105" spans="1:4">
      <c r="A105" s="52" t="str">
        <f>IF(Textes!F$2=1,B105,IF(Textes!F$2=2,C105,IF(Textes!F$2=3,D105,"")))</f>
        <v>kg Futter</v>
      </c>
      <c r="B105" s="52" t="s">
        <v>603</v>
      </c>
      <c r="C105" s="52" t="s">
        <v>454</v>
      </c>
      <c r="D105" s="52"/>
    </row>
    <row r="106" spans="1:4">
      <c r="A106" s="52" t="str">
        <f>IF(Textes!F$2=1,B106,IF(Textes!F$2=2,C106,IF(Textes!F$2=3,D106,"")))</f>
        <v>Total Zufuhr</v>
      </c>
      <c r="B106" s="52" t="s">
        <v>577</v>
      </c>
      <c r="C106" s="45" t="s">
        <v>578</v>
      </c>
      <c r="D106" s="52"/>
    </row>
    <row r="107" spans="1:4">
      <c r="A107" s="52" t="str">
        <f>IF(Textes!F$2=1,B107,IF(Textes!F$2=2,C107,IF(Textes!F$2=3,D107,"")))</f>
        <v>Kantonale Kontrollstelle      Datum:</v>
      </c>
      <c r="B107" s="45" t="s">
        <v>579</v>
      </c>
      <c r="C107" s="52" t="s">
        <v>604</v>
      </c>
      <c r="D107" s="52"/>
    </row>
    <row r="108" spans="1:4">
      <c r="A108" s="52" t="str">
        <f>IF(Textes!F$2=1,B108,IF(Textes!F$2=2,C108,IF(Textes!F$2=3,D108,"")))</f>
        <v>Unterschrift:</v>
      </c>
      <c r="B108" s="45" t="s">
        <v>554</v>
      </c>
      <c r="C108" s="45" t="s">
        <v>555</v>
      </c>
      <c r="D108" s="52"/>
    </row>
    <row r="109" spans="1:4">
      <c r="A109" s="52" t="str">
        <f>IF(Textes!F$2=1,B109,IF(Textes!F$2=2,C109,IF(Textes!F$2=3,D109,"")))</f>
        <v>Es müssen alle eingesetzten Futtermittel erfasst werden.</v>
      </c>
      <c r="B109" s="52" t="s">
        <v>605</v>
      </c>
      <c r="C109" s="52" t="s">
        <v>606</v>
      </c>
      <c r="D109" s="52"/>
    </row>
    <row r="110" spans="1:4">
      <c r="A110" s="52" t="str">
        <f>IF(Textes!F$2=1,B110,IF(Textes!F$2=2,C110,IF(Textes!F$2=3,D110,"")))</f>
        <v>In kg FS</v>
      </c>
      <c r="B110" s="52" t="s">
        <v>607</v>
      </c>
      <c r="C110" s="52" t="s">
        <v>608</v>
      </c>
      <c r="D110" s="52"/>
    </row>
    <row r="111" spans="1:4">
      <c r="A111" s="52" t="str">
        <f>IF(Textes!F$2=1,B111,IF(Textes!F$2=2,C111,IF(Textes!F$2=3,D111,"")))</f>
        <v>In kg TS</v>
      </c>
      <c r="B111" s="52" t="s">
        <v>609</v>
      </c>
      <c r="C111" s="52" t="s">
        <v>610</v>
      </c>
      <c r="D111" s="52"/>
    </row>
    <row r="112" spans="1:4">
      <c r="A112" s="52" t="str">
        <f>IF(Textes!F$2=1,B112,IF(Textes!F$2=2,C112,IF(Textes!F$2=3,D112,"")))</f>
        <v>kg FS</v>
      </c>
      <c r="B112" s="52" t="s">
        <v>611</v>
      </c>
      <c r="C112" s="52" t="s">
        <v>612</v>
      </c>
      <c r="D112" s="52"/>
    </row>
    <row r="113" spans="1:4">
      <c r="A113" s="52" t="str">
        <f>IF(Textes!F$2=1,B113,IF(Textes!F$2=2,C113,IF(Textes!F$2=3,D113,"")))</f>
        <v>pro kg TS</v>
      </c>
      <c r="B113" s="52" t="s">
        <v>613</v>
      </c>
      <c r="C113" s="52" t="s">
        <v>614</v>
      </c>
      <c r="D113" s="52"/>
    </row>
    <row r="114" spans="1:4">
      <c r="A114" s="52" t="str">
        <f>IF(Textes!F$2=1,B114,IF(Textes!F$2=2,C114,IF(Textes!F$2=3,D114,"")))</f>
        <v>Monat</v>
      </c>
      <c r="B114" s="52" t="s">
        <v>615</v>
      </c>
      <c r="C114" s="52" t="s">
        <v>616</v>
      </c>
      <c r="D114" s="52"/>
    </row>
    <row r="115" spans="1:4">
      <c r="A115" s="52" t="str">
        <f>IF(Textes!F$2=1,B115,IF(Textes!F$2=2,C115,IF(Textes!F$2=3,D115,"")))</f>
        <v>kg TS</v>
      </c>
      <c r="B115" s="52" t="s">
        <v>617</v>
      </c>
      <c r="C115" s="52" t="s">
        <v>618</v>
      </c>
      <c r="D115" s="52"/>
    </row>
    <row r="116" spans="1:4">
      <c r="A116" s="52" t="str">
        <f>IF(Textes!F$2=1,B116,IF(Textes!F$2=2,C116,IF(Textes!F$2=3,D116,"")))</f>
        <v>Import/Exportbilanz</v>
      </c>
      <c r="B116" s="324" t="s">
        <v>619</v>
      </c>
      <c r="C116" s="324" t="s">
        <v>620</v>
      </c>
      <c r="D116" s="324"/>
    </row>
    <row r="117" spans="1:4">
      <c r="A117" s="52" t="str">
        <f>IF(Textes!F$2=1,B117,IF(Textes!F$2=2,C117,IF(Textes!F$2=3,D117,"")))</f>
        <v>Datum ?</v>
      </c>
      <c r="B117" s="324" t="s">
        <v>621</v>
      </c>
      <c r="C117" s="324" t="s">
        <v>622</v>
      </c>
      <c r="D117" s="324"/>
    </row>
    <row r="118" spans="1:4" ht="14.25">
      <c r="A118" s="52" t="str">
        <f>IF(Textes!F$2=1,B118,IF(Textes!F$2=2,C118,IF(Textes!F$2=3,D118,"")))</f>
        <v>Teil A: Nährstoffexport durch Tiere</v>
      </c>
      <c r="B118" s="324" t="s">
        <v>623</v>
      </c>
      <c r="C118" s="324" t="s">
        <v>624</v>
      </c>
      <c r="D118" s="332"/>
    </row>
    <row r="119" spans="1:4" ht="14.25">
      <c r="A119" s="52" t="str">
        <f>IF(Textes!F$2=1,B119,IF(Textes!F$2=2,C119,IF(Textes!F$2=3,D119,"")))</f>
        <v>A-Inv.</v>
      </c>
      <c r="B119" s="332" t="s">
        <v>625</v>
      </c>
      <c r="C119" s="332" t="s">
        <v>626</v>
      </c>
      <c r="D119" s="332"/>
    </row>
    <row r="120" spans="1:4" ht="14.25">
      <c r="A120" s="52" t="str">
        <f>IF(Textes!F$2=1,B120,IF(Textes!F$2=2,C120,IF(Textes!F$2=3,D120,"")))</f>
        <v>E-Inv.</v>
      </c>
      <c r="B120" s="332" t="s">
        <v>627</v>
      </c>
      <c r="C120" s="332" t="s">
        <v>628</v>
      </c>
      <c r="D120" s="332"/>
    </row>
    <row r="121" spans="1:4" ht="14.25">
      <c r="A121" s="52" t="str">
        <f>IF(Textes!F$2=1,B121,IF(Textes!F$2=2,C121,IF(Textes!F$2=3,D121,"")))</f>
        <v>Zukauf</v>
      </c>
      <c r="B121" s="332" t="s">
        <v>629</v>
      </c>
      <c r="C121" s="332" t="s">
        <v>630</v>
      </c>
      <c r="D121" s="332"/>
    </row>
    <row r="122" spans="1:4" ht="14.25">
      <c r="A122" s="52" t="str">
        <f>IF(Textes!F$2=1,B122,IF(Textes!F$2=2,C122,IF(Textes!F$2=3,D122,"")))</f>
        <v>Verkauf</v>
      </c>
      <c r="B122" s="332" t="s">
        <v>631</v>
      </c>
      <c r="C122" s="332" t="s">
        <v>445</v>
      </c>
      <c r="D122" s="332"/>
    </row>
    <row r="123" spans="1:4">
      <c r="A123" s="52" t="str">
        <f>IF(Textes!F$2=1,B123,IF(Textes!F$2=2,C123,IF(Textes!F$2=3,D123,"")))</f>
        <v>LG total</v>
      </c>
      <c r="B123" s="45" t="s">
        <v>632</v>
      </c>
      <c r="C123" s="45" t="s">
        <v>444</v>
      </c>
      <c r="D123" s="45"/>
    </row>
    <row r="124" spans="1:4">
      <c r="A124" s="52" t="str">
        <f>IF(Textes!F$2=1,B124,IF(Textes!F$2=2,C124,IF(Textes!F$2=3,D124,"")))</f>
        <v>g Ntot/kg</v>
      </c>
      <c r="B124" s="45" t="s">
        <v>633</v>
      </c>
      <c r="C124" s="45" t="s">
        <v>633</v>
      </c>
      <c r="D124" s="45"/>
    </row>
    <row r="125" spans="1:4">
      <c r="A125" s="52" t="str">
        <f>IF(Textes!F$2=1,B125,IF(Textes!F$2=2,C125,IF(Textes!F$2=3,D125,"")))</f>
        <v>g P/kg</v>
      </c>
      <c r="B125" s="45" t="s">
        <v>634</v>
      </c>
      <c r="C125" s="45" t="s">
        <v>634</v>
      </c>
      <c r="D125" s="45"/>
    </row>
    <row r="126" spans="1:4">
      <c r="A126" s="52" t="str">
        <f>IF(Textes!F$2=1,B126,IF(Textes!F$2=2,C126,IF(Textes!F$2=3,D126,"")))</f>
        <v>Total kg Ntot</v>
      </c>
      <c r="B126" s="45" t="s">
        <v>635</v>
      </c>
      <c r="C126" s="45" t="s">
        <v>635</v>
      </c>
      <c r="D126" s="45"/>
    </row>
    <row r="127" spans="1:4">
      <c r="A127" s="52" t="str">
        <f>IF(Textes!F$2=1,B127,IF(Textes!F$2=2,C127,IF(Textes!F$2=3,D127,"")))</f>
        <v>Total kg P</v>
      </c>
      <c r="B127" s="45" t="s">
        <v>636</v>
      </c>
      <c r="C127" s="45" t="s">
        <v>636</v>
      </c>
      <c r="D127" s="45"/>
    </row>
    <row r="128" spans="1:4">
      <c r="A128" s="52" t="str">
        <f>IF(Textes!F$2=1,B128,IF(Textes!F$2=2,C128,IF(Textes!F$2=3,D128,"")))</f>
        <v>Tiere bis 60 kg LG</v>
      </c>
      <c r="B128" s="45" t="s">
        <v>637</v>
      </c>
      <c r="C128" s="45" t="s">
        <v>638</v>
      </c>
      <c r="D128" s="45"/>
    </row>
    <row r="129" spans="1:4">
      <c r="A129" s="52" t="str">
        <f>IF(Textes!F$2=1,B129,IF(Textes!F$2=2,C129,IF(Textes!F$2=3,D129,"")))</f>
        <v>Tiere ab 60 kg LG</v>
      </c>
      <c r="B129" s="45" t="s">
        <v>639</v>
      </c>
      <c r="C129" s="45" t="s">
        <v>640</v>
      </c>
      <c r="D129" s="45"/>
    </row>
    <row r="130" spans="1:4">
      <c r="A130" s="52" t="str">
        <f>IF(Textes!F$2=1,B130,IF(Textes!F$2=2,C130,IF(Textes!F$2=3,D130,"")))</f>
        <v>Tiere</v>
      </c>
      <c r="B130" s="45" t="s">
        <v>641</v>
      </c>
      <c r="C130" s="45" t="s">
        <v>642</v>
      </c>
      <c r="D130" s="45"/>
    </row>
    <row r="131" spans="1:4">
      <c r="A131" s="52" t="str">
        <f>IF(Textes!F$2=1,B131,IF(Textes!F$2=2,C131,IF(Textes!F$2=3,D131,"")))</f>
        <v>Tiere</v>
      </c>
      <c r="B131" s="45" t="s">
        <v>641</v>
      </c>
      <c r="C131" s="45" t="s">
        <v>642</v>
      </c>
      <c r="D131" s="45"/>
    </row>
    <row r="132" spans="1:4">
      <c r="A132" s="52" t="str">
        <f>IF(Textes!F$2=1,B132,IF(Textes!F$2=2,C132,IF(Textes!F$2=3,D132,"")))</f>
        <v>Total Nährstoffexport durch Tiere</v>
      </c>
      <c r="B132" s="45" t="s">
        <v>643</v>
      </c>
      <c r="C132" s="45" t="s">
        <v>644</v>
      </c>
      <c r="D132" s="45"/>
    </row>
    <row r="133" spans="1:4">
      <c r="A133" s="52" t="str">
        <f>IF(Textes!F$2=1,B133,IF(Textes!F$2=2,C133,IF(Textes!F$2=3,D133,"")))</f>
        <v>Teil B: Nährstoffimport durch Futtermittel</v>
      </c>
      <c r="B133" s="45" t="s">
        <v>645</v>
      </c>
      <c r="C133" s="45" t="s">
        <v>646</v>
      </c>
      <c r="D133" s="45"/>
    </row>
    <row r="134" spans="1:4">
      <c r="A134" s="52" t="str">
        <f>IF(Textes!F$2=1,B134,IF(Textes!F$2=2,C134,IF(Textes!F$2=3,D134,"")))</f>
        <v>A-Inv.</v>
      </c>
      <c r="B134" s="45" t="s">
        <v>625</v>
      </c>
      <c r="C134" s="45" t="s">
        <v>626</v>
      </c>
      <c r="D134" s="45"/>
    </row>
    <row r="135" spans="1:4">
      <c r="A135" s="52" t="str">
        <f>IF(Textes!F$2=1,B135,IF(Textes!F$2=2,C135,IF(Textes!F$2=3,D135,"")))</f>
        <v>E-Inv.</v>
      </c>
      <c r="B135" s="45" t="s">
        <v>627</v>
      </c>
      <c r="C135" s="45" t="s">
        <v>628</v>
      </c>
      <c r="D135" s="45"/>
    </row>
    <row r="136" spans="1:4">
      <c r="A136" s="52" t="str">
        <f>IF(Textes!F$2=1,B136,IF(Textes!F$2=2,C136,IF(Textes!F$2=3,D136,"")))</f>
        <v>Zukauf</v>
      </c>
      <c r="B136" s="45" t="s">
        <v>629</v>
      </c>
      <c r="C136" s="45" t="s">
        <v>630</v>
      </c>
      <c r="D136" s="45"/>
    </row>
    <row r="137" spans="1:4">
      <c r="A137" s="52" t="str">
        <f>IF(Textes!F$2=1,B137,IF(Textes!F$2=2,C137,IF(Textes!F$2=3,D137,"")))</f>
        <v>kg total</v>
      </c>
      <c r="B137" s="45" t="s">
        <v>647</v>
      </c>
      <c r="C137" s="45" t="s">
        <v>647</v>
      </c>
      <c r="D137" s="45"/>
    </row>
    <row r="138" spans="1:4">
      <c r="A138" s="52" t="str">
        <f>IF(Textes!F$2=1,B138,IF(Textes!F$2=2,C138,IF(Textes!F$2=3,D138,"")))</f>
        <v>% TS</v>
      </c>
      <c r="B138" s="52" t="s">
        <v>648</v>
      </c>
      <c r="C138" s="52" t="s">
        <v>649</v>
      </c>
      <c r="D138" s="45"/>
    </row>
    <row r="139" spans="1:4">
      <c r="A139" s="52" t="str">
        <f>IF(Textes!F$2=1,B139,IF(Textes!F$2=2,C139,IF(Textes!F$2=3,D139,"")))</f>
        <v>MJ VES</v>
      </c>
      <c r="B139" s="45" t="s">
        <v>478</v>
      </c>
      <c r="C139" s="45" t="s">
        <v>479</v>
      </c>
      <c r="D139" s="45"/>
    </row>
    <row r="140" spans="1:4">
      <c r="A140" s="52" t="str">
        <f>IF(Textes!F$2=1,B140,IF(Textes!F$2=2,C140,IF(Textes!F$2=3,D140,"")))</f>
        <v>g RP/kg</v>
      </c>
      <c r="B140" s="45" t="s">
        <v>650</v>
      </c>
      <c r="C140" s="45" t="s">
        <v>651</v>
      </c>
      <c r="D140" s="45"/>
    </row>
    <row r="141" spans="1:4">
      <c r="A141" s="52" t="str">
        <f>IF(Textes!F$2=1,B141,IF(Textes!F$2=2,C141,IF(Textes!F$2=3,D141,"")))</f>
        <v>g P/kg</v>
      </c>
      <c r="B141" s="45" t="s">
        <v>634</v>
      </c>
      <c r="C141" s="45" t="s">
        <v>634</v>
      </c>
      <c r="D141" s="45"/>
    </row>
    <row r="142" spans="1:4">
      <c r="A142" s="52" t="str">
        <f>IF(Textes!F$2=1,B142,IF(Textes!F$2=2,C142,IF(Textes!F$2=3,D142,"")))</f>
        <v>Total kg Ntot</v>
      </c>
      <c r="B142" s="45" t="s">
        <v>635</v>
      </c>
      <c r="C142" s="45" t="s">
        <v>635</v>
      </c>
      <c r="D142" s="45"/>
    </row>
    <row r="143" spans="1:4">
      <c r="A143" s="52" t="str">
        <f>IF(Textes!F$2=1,B143,IF(Textes!F$2=2,C143,IF(Textes!F$2=3,D143,"")))</f>
        <v>Total kg P</v>
      </c>
      <c r="B143" s="45" t="s">
        <v>636</v>
      </c>
      <c r="C143" s="45" t="s">
        <v>636</v>
      </c>
      <c r="D143" s="45"/>
    </row>
    <row r="144" spans="1:4">
      <c r="A144" s="52" t="str">
        <f>IF(Textes!F$2=1,B144,IF(Textes!F$2=2,C144,IF(Textes!F$2=3,D144,"")))</f>
        <v>in kg Futter</v>
      </c>
      <c r="B144" s="45" t="s">
        <v>652</v>
      </c>
      <c r="C144" s="45" t="s">
        <v>653</v>
      </c>
      <c r="D144" s="45"/>
    </row>
    <row r="145" spans="1:4">
      <c r="A145" s="52" t="str">
        <f>IF(Textes!F$2=1,B145,IF(Textes!F$2=2,C145,IF(Textes!F$2=3,D145,"")))</f>
        <v>pro kg Futter</v>
      </c>
      <c r="B145" s="45" t="s">
        <v>654</v>
      </c>
      <c r="C145" s="45" t="s">
        <v>602</v>
      </c>
      <c r="D145" s="45"/>
    </row>
    <row r="146" spans="1:4">
      <c r="A146" s="52" t="str">
        <f>IF(Textes!F$2=1,B146,IF(Textes!F$2=2,C146,IF(Textes!F$2=3,D146,"")))</f>
        <v>in kg TS</v>
      </c>
      <c r="B146" s="45" t="s">
        <v>655</v>
      </c>
      <c r="C146" s="45" t="s">
        <v>656</v>
      </c>
      <c r="D146" s="45"/>
    </row>
    <row r="147" spans="1:4">
      <c r="A147" s="52" t="str">
        <f>IF(Textes!F$2=1,B147,IF(Textes!F$2=2,C147,IF(Textes!F$2=3,D147,"")))</f>
        <v>pro kg TS</v>
      </c>
      <c r="B147" s="45" t="s">
        <v>613</v>
      </c>
      <c r="C147" s="45" t="s">
        <v>614</v>
      </c>
      <c r="D147" s="45"/>
    </row>
    <row r="148" spans="1:4">
      <c r="A148" s="52" t="str">
        <f>IF(Textes!F$2=1,B148,IF(Textes!F$2=2,C148,IF(Textes!F$2=3,D148,"")))</f>
        <v>Wiesenfutter</v>
      </c>
      <c r="B148" s="45" t="s">
        <v>657</v>
      </c>
      <c r="C148" s="45" t="s">
        <v>658</v>
      </c>
      <c r="D148" s="45"/>
    </row>
    <row r="149" spans="1:4">
      <c r="A149" s="52" t="str">
        <f>IF(Textes!F$2=1,B149,IF(Textes!F$2=2,C149,IF(Textes!F$2=3,D149,"")))</f>
        <v>Total Nährstoffimport durch Futtermittel</v>
      </c>
      <c r="B149" s="45" t="s">
        <v>659</v>
      </c>
      <c r="C149" s="45" t="s">
        <v>660</v>
      </c>
      <c r="D149" s="45"/>
    </row>
    <row r="150" spans="1:4">
      <c r="A150" s="52" t="str">
        <f>IF(Textes!F$2=1,B150,IF(Textes!F$2=2,C150,IF(Textes!F$2=3,D150,"")))</f>
        <v>Teil C: Import/Export Bilanz</v>
      </c>
      <c r="B150" s="45" t="s">
        <v>661</v>
      </c>
      <c r="C150" s="45" t="s">
        <v>662</v>
      </c>
      <c r="D150" s="45"/>
    </row>
    <row r="151" spans="1:4">
      <c r="A151" s="52" t="str">
        <f>IF(Textes!F$2=1,B151,IF(Textes!F$2=2,C151,IF(Textes!F$2=3,D151,"")))</f>
        <v>kg Ntot</v>
      </c>
      <c r="B151" s="45" t="s">
        <v>663</v>
      </c>
      <c r="C151" s="45" t="s">
        <v>663</v>
      </c>
      <c r="D151" s="45"/>
    </row>
    <row r="152" spans="1:4">
      <c r="A152" s="52" t="str">
        <f>IF(Textes!F$2=1,B152,IF(Textes!F$2=2,C152,IF(Textes!F$2=3,D152,"")))</f>
        <v>kg P</v>
      </c>
      <c r="B152" s="45" t="s">
        <v>664</v>
      </c>
      <c r="C152" s="45" t="s">
        <v>664</v>
      </c>
      <c r="D152" s="45"/>
    </row>
    <row r="153" spans="1:4">
      <c r="A153" s="52" t="str">
        <f>IF(Textes!F$2=1,B153,IF(Textes!F$2=2,C153,IF(Textes!F$2=3,D153,"")))</f>
        <v>kg Nges</v>
      </c>
      <c r="B153" s="45" t="s">
        <v>665</v>
      </c>
      <c r="C153" s="45" t="s">
        <v>666</v>
      </c>
      <c r="D153" s="45"/>
    </row>
    <row r="154" spans="1:4">
      <c r="A154" s="52" t="str">
        <f>IF(Textes!F$2=1,B154,IF(Textes!F$2=2,C154,IF(Textes!F$2=3,D154,"")))</f>
        <v>kg P2O5</v>
      </c>
      <c r="B154" s="45" t="s">
        <v>667</v>
      </c>
      <c r="C154" s="45" t="s">
        <v>667</v>
      </c>
      <c r="D154" s="45"/>
    </row>
    <row r="155" spans="1:4">
      <c r="A155" s="52" t="str">
        <f>IF(Textes!F$2=1,B155,IF(Textes!F$2=2,C155,IF(Textes!F$2=3,D155,"")))</f>
        <v>Nährstoffexport Tiere</v>
      </c>
      <c r="B155" s="45" t="s">
        <v>668</v>
      </c>
      <c r="C155" s="45" t="s">
        <v>669</v>
      </c>
      <c r="D155" s="45"/>
    </row>
    <row r="156" spans="1:4">
      <c r="A156" s="52" t="str">
        <f>IF(Textes!F$2=1,B156,IF(Textes!F$2=2,C156,IF(Textes!F$2=3,D156,"")))</f>
        <v>Nährstoffimport Futtermittel</v>
      </c>
      <c r="B156" s="45" t="s">
        <v>670</v>
      </c>
      <c r="C156" s="45" t="s">
        <v>671</v>
      </c>
      <c r="D156" s="45"/>
    </row>
    <row r="157" spans="1:4">
      <c r="A157" s="52" t="str">
        <f>IF(Textes!F$2=1,B157,IF(Textes!F$2=2,C157,IF(Textes!F$2=3,D157,"")))</f>
        <v>Für die Periode</v>
      </c>
      <c r="B157" s="45" t="s">
        <v>672</v>
      </c>
      <c r="C157" s="45" t="s">
        <v>673</v>
      </c>
      <c r="D157" s="45"/>
    </row>
    <row r="158" spans="1:4">
      <c r="A158" s="52" t="str">
        <f>IF(Textes!F$2=1,B158,IF(Textes!F$2=2,C158,IF(Textes!F$2=3,D158,"")))</f>
        <v>Pro 365 Tage</v>
      </c>
      <c r="B158" s="45" t="s">
        <v>674</v>
      </c>
      <c r="C158" s="45" t="s">
        <v>675</v>
      </c>
      <c r="D158" s="45"/>
    </row>
    <row r="159" spans="1:4">
      <c r="A159" s="52" t="str">
        <f>IF(Textes!F$2=1,B159,IF(Textes!F$2=2,C159,IF(Textes!F$2=3,D159,"")))</f>
        <v>kg Nges</v>
      </c>
      <c r="B159" s="52" t="s">
        <v>665</v>
      </c>
      <c r="C159" s="52" t="s">
        <v>666</v>
      </c>
      <c r="D159" s="45"/>
    </row>
    <row r="160" spans="1:4">
      <c r="A160" s="52" t="str">
        <f>IF(Textes!F$2=1,B160,IF(Textes!F$2=2,C160,IF(Textes!F$2=3,D160,"")))</f>
        <v>=&gt; Vergleich mit Tiefstwerten</v>
      </c>
      <c r="B160" s="333" t="s">
        <v>676</v>
      </c>
      <c r="C160" s="333" t="s">
        <v>677</v>
      </c>
      <c r="D160" s="45"/>
    </row>
    <row r="161" spans="1:4">
      <c r="A161" s="52" t="str">
        <f>IF(Textes!F$2=1,B161,IF(Textes!F$2=2,C161,IF(Textes!F$2=3,D161,"")))</f>
        <v>Teil D: Kontrolldaten</v>
      </c>
      <c r="B161" s="45" t="s">
        <v>678</v>
      </c>
      <c r="C161" s="45" t="s">
        <v>679</v>
      </c>
      <c r="D161" s="52"/>
    </row>
    <row r="162" spans="1:4">
      <c r="A162" s="52" t="str">
        <f>IF(Textes!F$2=1,B162,IF(Textes!F$2=2,C162,IF(Textes!F$2=3,D162,"")))</f>
        <v>Futter 88% TS pro 365 Tage</v>
      </c>
      <c r="B162" s="45" t="s">
        <v>680</v>
      </c>
      <c r="C162" s="45" t="s">
        <v>681</v>
      </c>
      <c r="D162" s="52"/>
    </row>
    <row r="163" spans="1:4">
      <c r="A163" s="52" t="str">
        <f>IF(Textes!F$2=1,B163,IF(Textes!F$2=2,C163,IF(Textes!F$2=3,D163,"")))</f>
        <v>Futter 88% TS/kg Zuwachs</v>
      </c>
      <c r="B163" s="45" t="s">
        <v>682</v>
      </c>
      <c r="C163" s="45" t="s">
        <v>683</v>
      </c>
      <c r="D163" s="52"/>
    </row>
    <row r="164" spans="1:4">
      <c r="A164" s="52" t="str">
        <f>IF(Textes!F$2=1,B164,IF(Textes!F$2=2,C164,IF(Textes!F$2=3,D164,"")))</f>
        <v>MJ / kg Zuwachs</v>
      </c>
      <c r="B164" s="45" t="s">
        <v>684</v>
      </c>
      <c r="C164" s="45" t="s">
        <v>685</v>
      </c>
      <c r="D164" s="52"/>
    </row>
    <row r="165" spans="1:4">
      <c r="A165" s="52" t="str">
        <f>IF(Textes!F$2=1,B165,IF(Textes!F$2=2,C165,IF(Textes!F$2=3,D165,"")))</f>
        <v>MJ in 365 Tagen verfüttert</v>
      </c>
      <c r="B165" s="45" t="s">
        <v>686</v>
      </c>
      <c r="C165" s="45" t="s">
        <v>687</v>
      </c>
      <c r="D165" s="52"/>
    </row>
    <row r="166" spans="1:4">
      <c r="A166" s="52" t="str">
        <f>IF(Textes!F$2=1,B166,IF(Textes!F$2=2,C166,IF(Textes!F$2=3,D166,"")))</f>
        <v>TS Gehalt Schotte</v>
      </c>
      <c r="B166" s="45" t="s">
        <v>688</v>
      </c>
      <c r="C166" s="45" t="s">
        <v>689</v>
      </c>
      <c r="D166" s="52"/>
    </row>
    <row r="167" spans="1:4">
      <c r="A167" s="52" t="str">
        <f>IF(Textes!F$2=1,B167,IF(Textes!F$2=2,C167,IF(Textes!F$2=3,D167,"")))</f>
        <v>Raufutter in dt TS pro Jahr</v>
      </c>
      <c r="B167" s="45" t="s">
        <v>690</v>
      </c>
      <c r="C167" s="45" t="s">
        <v>691</v>
      </c>
      <c r="D167" s="52"/>
    </row>
    <row r="168" spans="1:4">
      <c r="A168" s="52" t="str">
        <f>IF(Textes!F$2=1,B168,IF(Textes!F$2=2,C168,IF(Textes!F$2=3,D168,"")))</f>
        <v>Zuwachs pro 365 Tage</v>
      </c>
      <c r="B168" s="45" t="s">
        <v>692</v>
      </c>
      <c r="C168" s="45" t="s">
        <v>693</v>
      </c>
      <c r="D168" s="52"/>
    </row>
    <row r="169" spans="1:4">
      <c r="A169" s="52" t="str">
        <f>IF(Textes!F$2=1,B169,IF(Textes!F$2=2,C169,IF(Textes!F$2=3,D169,"")))</f>
        <v>MSP nach Zuwachs</v>
      </c>
      <c r="B169" s="45" t="s">
        <v>694</v>
      </c>
      <c r="C169" s="45" t="s">
        <v>695</v>
      </c>
      <c r="D169" s="45"/>
    </row>
    <row r="170" spans="1:4">
      <c r="A170" s="52" t="str">
        <f>IF(Textes!F$2=1,B170,IF(Textes!F$2=2,C170,IF(Textes!F$2=3,D170,"")))</f>
        <v>Tierbilanz</v>
      </c>
      <c r="B170" s="45" t="s">
        <v>696</v>
      </c>
      <c r="C170" s="45" t="s">
        <v>697</v>
      </c>
      <c r="D170" s="45"/>
    </row>
    <row r="171" spans="1:4">
      <c r="A171" s="52" t="str">
        <f>IF(Textes!F$2=1,B171,IF(Textes!F$2=2,C171,IF(Textes!F$2=3,D171,"")))</f>
        <v>Anzahl</v>
      </c>
      <c r="B171" s="45" t="s">
        <v>511</v>
      </c>
      <c r="C171" s="45" t="s">
        <v>443</v>
      </c>
      <c r="D171" s="45"/>
    </row>
    <row r="172" spans="1:4">
      <c r="A172" s="52" t="str">
        <f>IF(Textes!F$2=1,B172,IF(Textes!F$2=2,C172,IF(Textes!F$2=3,D172,"")))</f>
        <v>kg LG</v>
      </c>
      <c r="B172" s="45" t="s">
        <v>698</v>
      </c>
      <c r="C172" s="45" t="s">
        <v>699</v>
      </c>
      <c r="D172" s="45"/>
    </row>
    <row r="173" spans="1:4">
      <c r="A173" s="52" t="str">
        <f>IF(Textes!F$2=1,B173,IF(Textes!F$2=2,C173,IF(Textes!F$2=3,D173,"")))</f>
        <v>Anfangsinventar</v>
      </c>
      <c r="B173" s="45" t="s">
        <v>700</v>
      </c>
      <c r="C173" s="45" t="s">
        <v>701</v>
      </c>
      <c r="D173" s="45"/>
    </row>
    <row r="174" spans="1:4">
      <c r="A174" s="52" t="str">
        <f>IF(Textes!F$2=1,B174,IF(Textes!F$2=2,C174,IF(Textes!F$2=3,D174,"")))</f>
        <v>Zukauf</v>
      </c>
      <c r="B174" s="45" t="s">
        <v>629</v>
      </c>
      <c r="C174" s="45" t="s">
        <v>630</v>
      </c>
      <c r="D174" s="45"/>
    </row>
    <row r="175" spans="1:4">
      <c r="A175" s="52" t="str">
        <f>IF(Textes!F$2=1,B175,IF(Textes!F$2=2,C175,IF(Textes!F$2=3,D175,"")))</f>
        <v>Ausgang</v>
      </c>
      <c r="B175" s="45" t="s">
        <v>631</v>
      </c>
      <c r="C175" s="45" t="s">
        <v>702</v>
      </c>
      <c r="D175" s="324"/>
    </row>
    <row r="176" spans="1:4">
      <c r="A176" s="52" t="str">
        <f>IF(Textes!F$2=1,B176,IF(Textes!F$2=2,C176,IF(Textes!F$2=3,D176,"")))</f>
        <v>Endinventar</v>
      </c>
      <c r="B176" s="324" t="s">
        <v>703</v>
      </c>
      <c r="C176" s="45" t="s">
        <v>704</v>
      </c>
      <c r="D176" s="324"/>
    </row>
    <row r="177" spans="1:4">
      <c r="A177" s="52" t="str">
        <f>IF(Textes!F$2=1,B177,IF(Textes!F$2=2,C177,IF(Textes!F$2=3,D177,"")))</f>
        <v>Periode</v>
      </c>
      <c r="B177" s="324" t="s">
        <v>883</v>
      </c>
      <c r="C177" s="45" t="s">
        <v>879</v>
      </c>
      <c r="D177" s="324"/>
    </row>
    <row r="178" spans="1:4">
      <c r="A178" s="52" t="str">
        <f>IF(Textes!F$2=1,B178,IF(Textes!F$2=2,C178,IF(Textes!F$2=3,D178,"")))</f>
        <v>365 Tage</v>
      </c>
      <c r="B178" s="324" t="s">
        <v>884</v>
      </c>
      <c r="C178" s="45" t="s">
        <v>880</v>
      </c>
      <c r="D178" s="324"/>
    </row>
    <row r="179" spans="1:4">
      <c r="A179" s="52" t="str">
        <f>IF(Textes!F$2=1,B179,IF(Textes!F$2=2,C179,IF(Textes!F$2=3,D179,"")))</f>
        <v>(Periode)</v>
      </c>
      <c r="B179" s="324" t="s">
        <v>885</v>
      </c>
      <c r="C179" s="45" t="s">
        <v>881</v>
      </c>
      <c r="D179" s="324"/>
    </row>
    <row r="180" spans="1:4">
      <c r="A180" s="52" t="str">
        <f>IF(Textes!F$2=1,B180,IF(Textes!F$2=2,C180,IF(Textes!F$2=3,D180,"")))</f>
        <v>(365 Tage)</v>
      </c>
      <c r="B180" s="324" t="s">
        <v>886</v>
      </c>
      <c r="C180" s="45" t="s">
        <v>882</v>
      </c>
      <c r="D180" s="324"/>
    </row>
    <row r="181" spans="1:4">
      <c r="A181" s="52" t="str">
        <f>IF(Textes!F$2=1,B181,IF(Textes!F$2=2,C181,IF(Textes!F$2=3,D181,"")))</f>
        <v>Bilanz</v>
      </c>
      <c r="B181" s="324" t="s">
        <v>705</v>
      </c>
      <c r="C181" s="45" t="s">
        <v>706</v>
      </c>
      <c r="D181" s="324"/>
    </row>
    <row r="182" spans="1:4">
      <c r="A182" s="52" t="str">
        <f>IF(Textes!F$2=1,B182,IF(Textes!F$2=2,C182,IF(Textes!F$2=3,D182,"")))</f>
        <v>Bilanz aller Tiere</v>
      </c>
      <c r="B182" s="324" t="s">
        <v>707</v>
      </c>
      <c r="C182" s="45" t="s">
        <v>708</v>
      </c>
      <c r="D182" s="324"/>
    </row>
    <row r="183" spans="1:4">
      <c r="A183" s="52" t="str">
        <f>IF(Textes!F$2=1,B183,IF(Textes!F$2=2,C183,IF(Textes!F$2=3,D183,"")))</f>
        <v>Der Betriebsleiter ist damit einverstanden, dass das Resultat dieser Berechnung zur Beurteilung der Suisse-Bilanz</v>
      </c>
      <c r="B183" s="324" t="s">
        <v>432</v>
      </c>
      <c r="C183" s="324" t="s">
        <v>431</v>
      </c>
      <c r="D183" s="324"/>
    </row>
    <row r="184" spans="1:4">
      <c r="A184" s="52" t="str">
        <f>IF(Textes!F$2=1,B184,IF(Textes!F$2=2,C184,IF(Textes!F$2=3,D184,"")))</f>
        <v>berücksichtigt wird.</v>
      </c>
      <c r="B184" s="324" t="s">
        <v>709</v>
      </c>
      <c r="C184" s="324" t="s">
        <v>433</v>
      </c>
      <c r="D184" s="324"/>
    </row>
    <row r="185" spans="1:4">
      <c r="A185" s="52" t="str">
        <f>IF(Textes!F$2=1,B185,IF(Textes!F$2=2,C185,IF(Textes!F$2=3,D185,"")))</f>
        <v>Betriebsleiter, Datum:</v>
      </c>
      <c r="B185" s="324" t="s">
        <v>560</v>
      </c>
      <c r="C185" s="324" t="s">
        <v>561</v>
      </c>
      <c r="D185" s="324"/>
    </row>
    <row r="186" spans="1:4">
      <c r="A186" s="52" t="str">
        <f>IF(Textes!F$2=1,B186,IF(Textes!F$2=2,C186,IF(Textes!F$2=3,D186,"")))</f>
        <v>Kantonale Kontrollstelle, Datum:</v>
      </c>
      <c r="B186" s="324" t="s">
        <v>552</v>
      </c>
      <c r="C186" s="324" t="s">
        <v>553</v>
      </c>
      <c r="D186" s="324"/>
    </row>
    <row r="187" spans="1:4">
      <c r="A187" s="52" t="str">
        <f>IF(Textes!F$2=1,B187,IF(Textes!F$2=2,C187,IF(Textes!F$2=3,D187,"")))</f>
        <v>dt TS</v>
      </c>
      <c r="B187" s="324" t="s">
        <v>710</v>
      </c>
      <c r="C187" s="324" t="s">
        <v>711</v>
      </c>
      <c r="D187" s="324"/>
    </row>
    <row r="188" spans="1:4">
      <c r="A188" s="52" t="str">
        <f>IF(Textes!F$2=1,B188,IF(Textes!F$2=2,C188,IF(Textes!F$2=3,D188,"")))</f>
        <v>1g Ntot = 6.25 g RP</v>
      </c>
      <c r="B188" s="324" t="s">
        <v>712</v>
      </c>
      <c r="C188" s="324" t="s">
        <v>713</v>
      </c>
      <c r="D188" s="324"/>
    </row>
    <row r="189" spans="1:4">
      <c r="A189" s="52" t="str">
        <f>IF(Textes!F$2=1,B189,IF(Textes!F$2=2,C189,IF(Textes!F$2=3,D189,"")))</f>
        <v>Tage</v>
      </c>
      <c r="B189" s="324" t="s">
        <v>714</v>
      </c>
      <c r="C189" s="324" t="s">
        <v>715</v>
      </c>
      <c r="D189" s="324"/>
    </row>
    <row r="190" spans="1:4">
      <c r="A190" s="52" t="str">
        <f>IF(Textes!F$2=1,B190,IF(Textes!F$2=2,C190,IF(Textes!F$2=3,D190,"")))</f>
        <v>MSP</v>
      </c>
      <c r="B190" s="324" t="s">
        <v>716</v>
      </c>
      <c r="C190" s="324" t="s">
        <v>717</v>
      </c>
      <c r="D190" s="324"/>
    </row>
    <row r="191" spans="1:4">
      <c r="A191" s="52" t="str">
        <f>IF(Textes!F$2=1,B191,IF(Textes!F$2=2,C191,IF(Textes!F$2=3,D191,"")))</f>
        <v>Unterschrift:</v>
      </c>
      <c r="B191" s="324" t="s">
        <v>554</v>
      </c>
      <c r="C191" s="324" t="s">
        <v>555</v>
      </c>
      <c r="D191" s="324"/>
    </row>
    <row r="192" spans="1:4">
      <c r="A192" s="52" t="str">
        <f>IF(Textes!F$2=1,B192,IF(Textes!F$2=2,C192,IF(Textes!F$2=3,D192,"")))</f>
        <v>bis 60 kg LG</v>
      </c>
      <c r="B192" s="45" t="s">
        <v>718</v>
      </c>
      <c r="C192" s="45" t="s">
        <v>719</v>
      </c>
      <c r="D192" s="324"/>
    </row>
    <row r="193" spans="1:4">
      <c r="A193" s="52" t="str">
        <f>IF(Textes!F$2=1,B193,IF(Textes!F$2=2,C193,IF(Textes!F$2=3,D193,"")))</f>
        <v>ab 60 kg LG</v>
      </c>
      <c r="B193" s="45" t="s">
        <v>720</v>
      </c>
      <c r="C193" s="45" t="s">
        <v>721</v>
      </c>
      <c r="D193" s="324"/>
    </row>
    <row r="194" spans="1:4">
      <c r="A194" s="52" t="str">
        <f>IF(Textes!F$2=1,B194,IF(Textes!F$2=2,C194,IF(Textes!F$2=3,D194,"")))</f>
        <v>Berechnung der Tiefstwerte</v>
      </c>
      <c r="B194" s="313" t="s">
        <v>722</v>
      </c>
      <c r="C194" s="313" t="s">
        <v>723</v>
      </c>
    </row>
    <row r="195" spans="1:4">
      <c r="A195" s="52" t="str">
        <f>IF(Textes!F$2=1,B195,IF(Textes!F$2=2,C195,IF(Textes!F$2=3,D195,"")))</f>
        <v>Tierkategorie</v>
      </c>
      <c r="B195" s="313" t="s">
        <v>724</v>
      </c>
      <c r="C195" s="313" t="s">
        <v>725</v>
      </c>
    </row>
    <row r="196" spans="1:4">
      <c r="A196" s="52" t="str">
        <f>IF(Textes!F$2=1,B196,IF(Textes!F$2=2,C196,IF(Textes!F$2=3,D196,"")))</f>
        <v>Mastschweine/Remonten</v>
      </c>
      <c r="B196" s="313" t="s">
        <v>726</v>
      </c>
      <c r="C196" s="313" t="s">
        <v>727</v>
      </c>
    </row>
    <row r="197" spans="1:4">
      <c r="A197" s="52" t="str">
        <f>IF(Textes!F$2=1,B197,IF(Textes!F$2=2,C197,IF(Textes!F$2=3,D197,"")))</f>
        <v>Mastschweine/Remonten</v>
      </c>
      <c r="B197" s="313" t="s">
        <v>726</v>
      </c>
      <c r="C197" s="313" t="s">
        <v>727</v>
      </c>
    </row>
    <row r="198" spans="1:4">
      <c r="A198" s="52" t="str">
        <f>IF(Textes!F$2=1,B198,IF(Textes!F$2=2,C198,IF(Textes!F$2=3,D198,"")))</f>
        <v>Zuchtschweine inkl. Ferkel bis 25 kg LG</v>
      </c>
      <c r="B198" s="313" t="s">
        <v>728</v>
      </c>
      <c r="C198" s="313" t="s">
        <v>729</v>
      </c>
    </row>
    <row r="199" spans="1:4">
      <c r="A199" s="52" t="str">
        <f>IF(Textes!F$2=1,B199,IF(Textes!F$2=2,C199,IF(Textes!F$2=3,D199,"")))</f>
        <v>Eber</v>
      </c>
      <c r="B199" s="313" t="s">
        <v>730</v>
      </c>
      <c r="C199" s="313" t="s">
        <v>731</v>
      </c>
    </row>
    <row r="200" spans="1:4">
      <c r="A200" s="52" t="str">
        <f>IF(Textes!F$2=1,B200,IF(Textes!F$2=2,C200,IF(Textes!F$2=3,D200,"")))</f>
        <v>Galtsauen</v>
      </c>
      <c r="B200" s="313" t="s">
        <v>732</v>
      </c>
      <c r="C200" s="313" t="s">
        <v>733</v>
      </c>
    </row>
    <row r="201" spans="1:4">
      <c r="A201" s="52" t="str">
        <f>IF(Textes!F$2=1,B201,IF(Textes!F$2=2,C201,IF(Textes!F$2=3,D201,"")))</f>
        <v>Galtsauen</v>
      </c>
      <c r="B201" s="313" t="s">
        <v>732</v>
      </c>
      <c r="C201" s="313" t="s">
        <v>733</v>
      </c>
    </row>
    <row r="202" spans="1:4">
      <c r="A202" s="52" t="str">
        <f>IF(Textes!F$2=1,B202,IF(Textes!F$2=2,C202,IF(Textes!F$2=3,D202,"")))</f>
        <v>Säugende Zuchtsauen</v>
      </c>
      <c r="B202" s="313" t="s">
        <v>734</v>
      </c>
      <c r="C202" s="313" t="s">
        <v>735</v>
      </c>
    </row>
    <row r="203" spans="1:4">
      <c r="A203" s="52" t="str">
        <f>IF(Textes!F$2=1,B203,IF(Textes!F$2=2,C203,IF(Textes!F$2=3,D203,"")))</f>
        <v>Säugende Zuchtsauen</v>
      </c>
      <c r="B203" s="313" t="s">
        <v>734</v>
      </c>
      <c r="C203" s="313" t="s">
        <v>735</v>
      </c>
    </row>
    <row r="204" spans="1:4">
      <c r="A204" s="52" t="str">
        <f>IF(Textes!F$2=1,B204,IF(Textes!F$2=2,C204,IF(Textes!F$2=3,D204,"")))</f>
        <v>Abgesetzte Ferkel, von ca. 9 bis 25 kg LG</v>
      </c>
      <c r="B204" s="313" t="s">
        <v>736</v>
      </c>
      <c r="C204" s="313" t="s">
        <v>737</v>
      </c>
    </row>
    <row r="205" spans="1:4">
      <c r="A205" s="52" t="str">
        <f>IF(Textes!F$2=1,B205,IF(Textes!F$2=2,C205,IF(Textes!F$2=3,D205,"")))</f>
        <v>Abgesetzte Ferkel, von ca. 9 bis 25 kg LG</v>
      </c>
      <c r="B205" s="313" t="s">
        <v>736</v>
      </c>
      <c r="C205" s="313" t="s">
        <v>737</v>
      </c>
    </row>
    <row r="206" spans="1:4">
      <c r="A206" s="52" t="str">
        <f>IF(Textes!F$2=1,B206,IF(Textes!F$2=2,C206,IF(Textes!F$2=3,D206,"")))</f>
        <v>Junghennen</v>
      </c>
      <c r="B206" s="313" t="s">
        <v>450</v>
      </c>
      <c r="C206" s="313" t="s">
        <v>480</v>
      </c>
    </row>
    <row r="207" spans="1:4">
      <c r="A207" s="52" t="str">
        <f>IF(Textes!F$2=1,B207,IF(Textes!F$2=2,C207,IF(Textes!F$2=3,D207,"")))</f>
        <v>Mastpoulets</v>
      </c>
      <c r="B207" s="313" t="s">
        <v>483</v>
      </c>
      <c r="C207" s="313" t="s">
        <v>484</v>
      </c>
    </row>
    <row r="208" spans="1:4">
      <c r="A208" s="52" t="str">
        <f>IF(Textes!F$2=1,B208,IF(Textes!F$2=2,C208,IF(Textes!F$2=3,D208,"")))</f>
        <v>Masttruten</v>
      </c>
      <c r="B208" s="313" t="s">
        <v>799</v>
      </c>
      <c r="C208" s="313" t="s">
        <v>797</v>
      </c>
    </row>
    <row r="209" spans="1:7">
      <c r="A209" s="52" t="str">
        <f>IF(Textes!F$2=1,B209,IF(Textes!F$2=2,C209,IF(Textes!F$2=3,D209,"")))</f>
        <v>100 Plätze</v>
      </c>
      <c r="B209" s="313" t="s">
        <v>781</v>
      </c>
      <c r="C209" s="313" t="s">
        <v>784</v>
      </c>
    </row>
    <row r="210" spans="1:7">
      <c r="A210" s="52" t="str">
        <f>IF(Textes!F$2=1,B210,IF(Textes!F$2=2,C210,IF(Textes!F$2=3,D210,"")))</f>
        <v>100 Stück</v>
      </c>
      <c r="B210" s="313" t="s">
        <v>782</v>
      </c>
      <c r="C210" s="313" t="s">
        <v>783</v>
      </c>
    </row>
    <row r="211" spans="1:7">
      <c r="A211" s="52" t="str">
        <f>IF(Textes!F$2=1,B211,IF(Textes!F$2=2,C211,IF(Textes!F$2=3,D211,"")))</f>
        <v>Produz. Zibben (inkl. Jungtiere bis ca 35 Tage)</v>
      </c>
      <c r="B211" s="536" t="s">
        <v>53</v>
      </c>
      <c r="C211" s="313" t="s">
        <v>49</v>
      </c>
    </row>
    <row r="212" spans="1:7">
      <c r="A212" s="52" t="str">
        <f>IF(Textes!F$2=1,B212,IF(Textes!F$2=2,C212,IF(Textes!F$2=3,D212,"")))</f>
        <v>Kaninchen - Jungtiere (ab ca 35 Tage)</v>
      </c>
      <c r="B212" s="536" t="s">
        <v>54</v>
      </c>
      <c r="C212" s="313" t="s">
        <v>19</v>
      </c>
    </row>
    <row r="213" spans="1:7">
      <c r="A213" s="52" t="str">
        <f>IF(Textes!F$2=1,B213,IF(Textes!F$2=2,C213,IF(Textes!F$2=3,D213,"")))</f>
        <v>Einheit</v>
      </c>
      <c r="B213" s="313" t="s">
        <v>738</v>
      </c>
      <c r="C213" s="313" t="s">
        <v>739</v>
      </c>
    </row>
    <row r="214" spans="1:7">
      <c r="A214" s="52" t="str">
        <f>IF(Textes!F$2=1,B214,IF(Textes!F$2=2,C214,IF(Textes!F$2=3,D214,"")))</f>
        <v>Platz</v>
      </c>
      <c r="B214" s="313" t="s">
        <v>740</v>
      </c>
      <c r="C214" s="313" t="s">
        <v>741</v>
      </c>
    </row>
    <row r="215" spans="1:7">
      <c r="A215" s="52" t="str">
        <f>IF(Textes!F$2=1,B215,IF(Textes!F$2=2,C215,IF(Textes!F$2=3,D215,"")))</f>
        <v>Stück</v>
      </c>
      <c r="B215" s="313" t="s">
        <v>742</v>
      </c>
      <c r="C215" s="313" t="s">
        <v>573</v>
      </c>
    </row>
    <row r="216" spans="1:7">
      <c r="A216" s="52" t="str">
        <f>IF(Textes!F$2=1,B216,IF(Textes!F$2=2,C216,IF(Textes!F$2=3,D216,"")))</f>
        <v>Definition der Einheit</v>
      </c>
      <c r="B216" s="313" t="s">
        <v>743</v>
      </c>
      <c r="C216" s="313" t="s">
        <v>744</v>
      </c>
    </row>
    <row r="217" spans="1:7">
      <c r="A217" s="52" t="str">
        <f>IF(Textes!F$2=1,B217,IF(Textes!F$2=2,C217,IF(Textes!F$2=3,D217,"")))</f>
        <v>240 kg Zuwachs/Jahr</v>
      </c>
      <c r="B217" s="313" t="s">
        <v>745</v>
      </c>
      <c r="C217" s="313" t="s">
        <v>746</v>
      </c>
    </row>
    <row r="218" spans="1:7">
      <c r="A218" s="52" t="str">
        <f>IF(Textes!F$2=1,B218,IF(Textes!F$2=2,C218,IF(Textes!F$2=3,D218,"")))</f>
        <v>80 kg Zuwachs</v>
      </c>
      <c r="B218" s="313" t="s">
        <v>747</v>
      </c>
      <c r="C218" s="313" t="s">
        <v>748</v>
      </c>
    </row>
    <row r="219" spans="1:7">
      <c r="A219" s="52" t="str">
        <f>IF(Textes!F$2=1,B219,IF(Textes!F$2=2,C219,IF(Textes!F$2=3,D219,"")))</f>
        <v>Mittelwert Anfangs- und Endbestand</v>
      </c>
      <c r="B219" s="313" t="s">
        <v>280</v>
      </c>
      <c r="C219" s="313" t="s">
        <v>269</v>
      </c>
    </row>
    <row r="220" spans="1:7">
      <c r="A220" s="52" t="str">
        <f>IF(Textes!F$2=1,B220,IF(Textes!F$2=2,C220,IF(Textes!F$2=3,D220,"")))</f>
        <v>Mittelwert Anfangs- und Endbestand</v>
      </c>
      <c r="B220" s="313" t="s">
        <v>280</v>
      </c>
      <c r="C220" s="313" t="s">
        <v>269</v>
      </c>
    </row>
    <row r="221" spans="1:7">
      <c r="A221" s="52" t="str">
        <f>IF(Textes!F$2=1,B221,IF(Textes!F$2=2,C221,IF(Textes!F$2=3,D221,"")))</f>
        <v>Mittelwert (Zukauf 365d + Ausgang 365d) geteilt durch 3.1 Umtr.</v>
      </c>
      <c r="B221" s="313" t="s">
        <v>284</v>
      </c>
      <c r="C221" s="422" t="s">
        <v>281</v>
      </c>
      <c r="G221" s="615"/>
    </row>
    <row r="222" spans="1:7">
      <c r="A222" s="52" t="str">
        <f>IF(Textes!F$2=1,B222,IF(Textes!F$2=2,C222,IF(Textes!F$2=3,D222,"")))</f>
        <v>Mittelwert (Zukauf 365d + Ausgang 365d)</v>
      </c>
      <c r="B222" s="313" t="s">
        <v>285</v>
      </c>
      <c r="C222" s="422" t="s">
        <v>282</v>
      </c>
    </row>
    <row r="223" spans="1:7">
      <c r="A223" s="52" t="str">
        <f>IF(Textes!F$2=1,B223,IF(Textes!F$2=2,C223,IF(Textes!F$2=3,D223,"")))</f>
        <v>Mittelwert (Zukauf 365d + Ausgang 365d) geteilt durch 8.2 Umtr.</v>
      </c>
      <c r="B223" s="313" t="s">
        <v>286</v>
      </c>
      <c r="C223" s="422" t="s">
        <v>283</v>
      </c>
    </row>
    <row r="224" spans="1:7">
      <c r="A224" s="52" t="str">
        <f>IF(Textes!F$2=1,B224,IF(Textes!F$2=2,C224,IF(Textes!F$2=3,D224,"")))</f>
        <v>Mittelwert (Zukauf 365d + Ausgang 365d)</v>
      </c>
      <c r="B224" s="313" t="s">
        <v>285</v>
      </c>
      <c r="C224" s="422" t="s">
        <v>282</v>
      </c>
    </row>
    <row r="225" spans="1:4">
      <c r="A225" s="52" t="str">
        <f>IF(Textes!F$2=1,B225,IF(Textes!F$2=2,C225,IF(Textes!F$2=3,D225,"")))</f>
        <v>176 kg Zuwachs/Jahr</v>
      </c>
      <c r="B225" s="313" t="s">
        <v>749</v>
      </c>
      <c r="C225" s="313" t="s">
        <v>750</v>
      </c>
    </row>
    <row r="226" spans="1:4">
      <c r="A226" s="52" t="str">
        <f>IF(Textes!F$2=1,B226,IF(Textes!F$2=2,C226,IF(Textes!F$2=3,D226,"")))</f>
        <v>16 kg Zuwachs/Stück</v>
      </c>
      <c r="B226" s="313" t="s">
        <v>751</v>
      </c>
      <c r="C226" s="313" t="s">
        <v>752</v>
      </c>
    </row>
    <row r="227" spans="1:4">
      <c r="A227" s="52" t="str">
        <f>IF(Textes!F$2=1,B227,IF(Textes!F$2=2,C227,IF(Textes!F$2=3,D227,"")))</f>
        <v>Im Durchschnitt gehaltene Junghennen</v>
      </c>
      <c r="B227" s="313" t="s">
        <v>753</v>
      </c>
      <c r="C227" s="313" t="s">
        <v>754</v>
      </c>
    </row>
    <row r="228" spans="1:4">
      <c r="A228" s="52" t="str">
        <f>IF(Textes!F$2=1,B228,IF(Textes!F$2=2,C228,IF(Textes!F$2=3,D228,"")))</f>
        <v>Im Durchschnitt gehaltene Poulets</v>
      </c>
      <c r="B228" s="313" t="s">
        <v>755</v>
      </c>
      <c r="C228" s="313" t="s">
        <v>756</v>
      </c>
    </row>
    <row r="229" spans="1:4">
      <c r="A229" s="52" t="str">
        <f>IF(Textes!F$2=1,B229,IF(Textes!F$2=2,C229,IF(Textes!F$2=3,D229,"")))</f>
        <v>Im Durchschnitt gehaltene Masttruten</v>
      </c>
      <c r="B229" s="313" t="s">
        <v>800</v>
      </c>
      <c r="C229" s="313" t="s">
        <v>798</v>
      </c>
    </row>
    <row r="230" spans="1:4">
      <c r="A230" s="52" t="str">
        <f>IF(Textes!F$2=1,B230,IF(Textes!F$2=2,C230,IF(Textes!F$2=3,D230,"")))</f>
        <v>Im Durchschnitt gehaltene Zibben</v>
      </c>
      <c r="B230" s="313" t="s">
        <v>793</v>
      </c>
      <c r="C230" s="313" t="s">
        <v>780</v>
      </c>
    </row>
    <row r="231" spans="1:4">
      <c r="A231" s="52" t="str">
        <f>IF(Textes!F$2=1,B231,IF(Textes!F$2=2,C231,IF(Textes!F$2=3,D231,"")))</f>
        <v>Im Durchschnitt gehaltene Mastkaninchen</v>
      </c>
      <c r="B231" s="313" t="s">
        <v>794</v>
      </c>
      <c r="C231" s="313" t="s">
        <v>792</v>
      </c>
    </row>
    <row r="232" spans="1:4">
      <c r="A232" s="52" t="str">
        <f>IF(Textes!F$2=1,B232,IF(Textes!F$2=2,C232,IF(Textes!F$2=3,D232,"")))</f>
        <v>Bemerkungen zur Berechnung der Durchschnittsbestände bei Schweinen</v>
      </c>
      <c r="B232" s="536" t="s">
        <v>287</v>
      </c>
      <c r="C232" s="313" t="s">
        <v>270</v>
      </c>
    </row>
    <row r="233" spans="1:4">
      <c r="A233" s="52" t="str">
        <f>IF(Textes!F$2=1,B233,IF(Textes!F$2=2,C233,IF(Textes!F$2=3,D233,"")))</f>
        <v>- Kombinierte Betriebe berücksichtigen bei den Mastschweinen neben einem Zuwachs von 240 kg das Inventar und die eigene Remontierung</v>
      </c>
      <c r="B233" s="616" t="s">
        <v>288</v>
      </c>
      <c r="C233" s="313" t="s">
        <v>271</v>
      </c>
      <c r="D233" s="613"/>
    </row>
    <row r="234" spans="1:4">
      <c r="A234" s="52" t="str">
        <f>IF(Textes!F$2=1,B234,IF(Textes!F$2=2,C234,IF(Textes!F$2=3,D234,"")))</f>
        <v xml:space="preserve">  sowie allfällige übergewichtige Ferkel (=&gt; sämtlicher Zuwachs zwischen 25 und 105 kg LG)</v>
      </c>
      <c r="B234" s="536" t="s">
        <v>295</v>
      </c>
      <c r="C234" s="313" t="s">
        <v>274</v>
      </c>
      <c r="D234" s="613"/>
    </row>
    <row r="235" spans="1:4">
      <c r="A235" s="52" t="str">
        <f>IF(Textes!F$2=1,B235,IF(Textes!F$2=2,C235,IF(Textes!F$2=3,D235,"")))</f>
        <v>- Zuchtschweineplätze und Eberplätze: Allfällige Jahresschwankungen rechtfertigen eine Abweichung vom Mittelwert des Anfangs- und Endbestandes</v>
      </c>
      <c r="B235" s="616" t="s">
        <v>289</v>
      </c>
      <c r="C235" s="613" t="s">
        <v>278</v>
      </c>
    </row>
    <row r="236" spans="1:4" ht="15">
      <c r="A236" s="52" t="str">
        <f>IF(Textes!F$2=1,B236,IF(Textes!F$2=2,C236,IF(Textes!F$2=3,D236,"")))</f>
        <v>- AFP Säugende Zuchtschweine:  Der berechnete Durchschnittsbestand gemäss Formel kann maximal dem Mittelwert der eingestallten Tiere entsprechen</v>
      </c>
      <c r="B236" s="616" t="s">
        <v>290</v>
      </c>
      <c r="C236" s="613" t="s">
        <v>275</v>
      </c>
      <c r="D236" s="614"/>
    </row>
    <row r="237" spans="1:4">
      <c r="A237" s="52" t="str">
        <f>IF(Textes!F$2=1,B237,IF(Textes!F$2=2,C237,IF(Textes!F$2=3,D237,"")))</f>
        <v xml:space="preserve">       (z.B. falls bei jedem Umtrieb 30 Sauen eingestallt werden, kann der Durchschnittsbestand nicht grösser als 30 sein).</v>
      </c>
      <c r="B237" s="536" t="s">
        <v>291</v>
      </c>
      <c r="C237" s="313" t="s">
        <v>279</v>
      </c>
      <c r="D237" s="613"/>
    </row>
    <row r="238" spans="1:4">
      <c r="A238" s="52" t="str">
        <f>IF(Textes!F$2=1,B238,IF(Textes!F$2=2,C238,IF(Textes!F$2=3,D238,"")))</f>
        <v xml:space="preserve">       Gewichtsabnahme Tiereingang und Tierausgang: standardmässig 50 kg, sonst Wägung</v>
      </c>
      <c r="B238" s="536" t="s">
        <v>292</v>
      </c>
      <c r="C238" s="313" t="s">
        <v>276</v>
      </c>
    </row>
    <row r="239" spans="1:4">
      <c r="A239" s="52" t="str">
        <f>IF(Textes!F$2=1,B239,IF(Textes!F$2=2,C239,IF(Textes!F$2=3,D239,"")))</f>
        <v>- AFP Galtsauen: Gewichtszunahme Tiereingang und Tierausgang: standardmässig 50 kg, sonst Wägung</v>
      </c>
      <c r="B239" s="616" t="s">
        <v>293</v>
      </c>
      <c r="C239" s="613" t="s">
        <v>277</v>
      </c>
    </row>
    <row r="240" spans="1:4">
      <c r="A240" s="52" t="str">
        <f>IF(Textes!F$2=1,B240,IF(Textes!F$2=2,C240,IF(Textes!F$2=3,D240,"")))</f>
        <v>- AFP Abferkelbetrieb mit Ferkelaufzucht berücksichtigen neben dem Zuwachs von 176 kg auch das Inventar (=&gt; sämtlicher Zuwachs zwischen 9 und 25 kg LG)</v>
      </c>
      <c r="B240" s="616" t="s">
        <v>294</v>
      </c>
      <c r="C240" s="613" t="s">
        <v>368</v>
      </c>
      <c r="D240" s="613"/>
    </row>
    <row r="241" spans="1:4">
      <c r="A241" s="52" t="str">
        <f>IF(Textes!F$2=1,B241,IF(Textes!F$2=2,C241,IF(Textes!F$2=3,D241,"")))</f>
        <v>Anzahl</v>
      </c>
      <c r="B241" s="313" t="s">
        <v>511</v>
      </c>
      <c r="C241" s="313" t="s">
        <v>443</v>
      </c>
      <c r="D241" s="613"/>
    </row>
    <row r="242" spans="1:4">
      <c r="A242" s="52" t="str">
        <f>IF(Textes!F$2=1,B242,IF(Textes!F$2=2,C242,IF(Textes!F$2=3,D242,"")))</f>
        <v>Ntot</v>
      </c>
      <c r="B242" s="313" t="s">
        <v>448</v>
      </c>
      <c r="C242" s="313" t="s">
        <v>448</v>
      </c>
    </row>
    <row r="243" spans="1:4">
      <c r="A243" s="52" t="str">
        <f>IF(Textes!F$2=1,B243,IF(Textes!F$2=2,C243,IF(Textes!F$2=3,D243,"")))</f>
        <v>Nges</v>
      </c>
      <c r="B243" s="313" t="s">
        <v>757</v>
      </c>
      <c r="C243" s="313" t="s">
        <v>758</v>
      </c>
    </row>
    <row r="244" spans="1:4">
      <c r="A244" s="52" t="str">
        <f>IF(Textes!F$2=1,B244,IF(Textes!F$2=2,C244,IF(Textes!F$2=3,D244,"")))</f>
        <v>P2O5</v>
      </c>
      <c r="B244" s="313" t="s">
        <v>759</v>
      </c>
      <c r="C244" s="313" t="s">
        <v>759</v>
      </c>
    </row>
    <row r="245" spans="1:4">
      <c r="A245" s="52" t="str">
        <f>IF(Textes!F$2=1,B245,IF(Textes!F$2=2,C245,IF(Textes!F$2=3,D245,"")))</f>
        <v>Nges</v>
      </c>
      <c r="B245" s="313" t="s">
        <v>757</v>
      </c>
      <c r="C245" s="313" t="s">
        <v>758</v>
      </c>
    </row>
    <row r="246" spans="1:4">
      <c r="A246" s="52" t="str">
        <f>IF(Textes!F$2=1,B246,IF(Textes!F$2=2,C246,IF(Textes!F$2=3,D246,"")))</f>
        <v>P2O5</v>
      </c>
      <c r="B246" s="313" t="s">
        <v>759</v>
      </c>
      <c r="C246" s="313" t="s">
        <v>759</v>
      </c>
    </row>
    <row r="247" spans="1:4">
      <c r="A247" s="52" t="str">
        <f>IF(Textes!F$2=1,B247,IF(Textes!F$2=2,C247,IF(Textes!F$2=3,D247,"")))</f>
        <v>Tiefstwert für den Betrieb</v>
      </c>
      <c r="B247" s="313" t="s">
        <v>760</v>
      </c>
      <c r="C247" s="233" t="s">
        <v>761</v>
      </c>
    </row>
    <row r="248" spans="1:4">
      <c r="A248" s="52" t="str">
        <f>IF(Textes!F$2=1,B248,IF(Textes!F$2=2,C248,IF(Textes!F$2=3,D248,"")))</f>
        <v>Berechneter Wert aus Import/Export Bilanz</v>
      </c>
      <c r="B248" s="313" t="s">
        <v>762</v>
      </c>
      <c r="C248" s="233" t="s">
        <v>763</v>
      </c>
    </row>
    <row r="249" spans="1:4">
      <c r="A249" s="52" t="str">
        <f>IF(Textes!F$2=1,B249,IF(Textes!F$2=2,C249,IF(Textes!F$2=3,D249,"")))</f>
        <v>Uebertrag in die Suisse-Bilanz</v>
      </c>
      <c r="B249" s="313" t="s">
        <v>303</v>
      </c>
      <c r="C249" s="313" t="s">
        <v>764</v>
      </c>
    </row>
    <row r="250" spans="1:4">
      <c r="A250" s="52" t="str">
        <f>IF(Textes!F$2=1,B250,IF(Textes!F$2=2,C250,IF(Textes!F$2=3,D250,"")))</f>
        <v>Total</v>
      </c>
      <c r="B250" s="313" t="s">
        <v>455</v>
      </c>
      <c r="C250" s="313" t="s">
        <v>455</v>
      </c>
    </row>
    <row r="251" spans="1:4">
      <c r="A251" s="52" t="str">
        <f>IF(Textes!F$2=1,B251,IF(Textes!F$2=2,C251,IF(Textes!F$2=3,D251,"")))</f>
        <v>Stall 1</v>
      </c>
      <c r="B251" s="313" t="s">
        <v>887</v>
      </c>
      <c r="C251" s="313" t="s">
        <v>809</v>
      </c>
    </row>
    <row r="252" spans="1:4">
      <c r="A252" s="52" t="str">
        <f>IF(Textes!F$2=1,B252,IF(Textes!F$2=2,C252,IF(Textes!F$2=3,D252,"")))</f>
        <v>Stall 2</v>
      </c>
      <c r="B252" s="313" t="s">
        <v>888</v>
      </c>
      <c r="C252" s="313" t="s">
        <v>811</v>
      </c>
    </row>
    <row r="253" spans="1:4">
      <c r="A253" s="52" t="str">
        <f>IF(Textes!F$2=1,B253,IF(Textes!F$2=2,C253,IF(Textes!F$2=3,D253,"")))</f>
        <v>Stall 3</v>
      </c>
      <c r="B253" s="313" t="s">
        <v>889</v>
      </c>
      <c r="C253" s="313" t="s">
        <v>812</v>
      </c>
    </row>
    <row r="254" spans="1:4">
      <c r="A254" s="52" t="str">
        <f>IF(Textes!F$2=1,B254,IF(Textes!F$2=2,C254,IF(Textes!F$2=3,D254,"")))</f>
        <v>Zu- und Verkäufe nach A1a und A2a übertragen</v>
      </c>
      <c r="B254" s="536" t="s">
        <v>42</v>
      </c>
      <c r="C254" s="313" t="s">
        <v>890</v>
      </c>
    </row>
    <row r="255" spans="1:4">
      <c r="A255" s="52" t="str">
        <f>IF(Textes!F$2=1,B255,IF(Textes!F$2=2,C255,IF(Textes!F$2=3,D255,"")))</f>
        <v>Zu- und Verkäufe nach A1b und A2b übertragen</v>
      </c>
      <c r="B255" s="536" t="s">
        <v>43</v>
      </c>
      <c r="C255" s="313" t="s">
        <v>891</v>
      </c>
    </row>
    <row r="256" spans="1:4">
      <c r="A256" s="52" t="str">
        <f>IF(Textes!F$2=1,B256,IF(Textes!F$2=2,C256,IF(Textes!F$2=3,D256,"")))</f>
        <v>Zu- und Verkäufe nach A1c und A2c übertragen</v>
      </c>
      <c r="B256" s="536" t="s">
        <v>44</v>
      </c>
      <c r="C256" s="313" t="s">
        <v>892</v>
      </c>
    </row>
    <row r="257" spans="1:3">
      <c r="A257" s="52" t="str">
        <f>IF(Textes!F$2=1,B257,IF(Textes!F$2=2,C257,IF(Textes!F$2=3,D257,"")))</f>
        <v>Achtung: Massgebende Periode ist das Kalenderjahr.</v>
      </c>
      <c r="B257" s="536" t="s">
        <v>45</v>
      </c>
      <c r="C257" s="313" t="s">
        <v>27</v>
      </c>
    </row>
    <row r="258" spans="1:3">
      <c r="A258" s="52" t="str">
        <f>IF(Textes!F$2=1,B258,IF(Textes!F$2=2,C258,IF(Textes!F$2=3,D258,"")))</f>
        <v xml:space="preserve">               Vor der Periode angefangene und nicht innert der Periode abgeschlossene Umtriebe sind ganz zu erfassen!</v>
      </c>
      <c r="B258" s="536" t="s">
        <v>46</v>
      </c>
      <c r="C258" s="313" t="s">
        <v>28</v>
      </c>
    </row>
    <row r="259" spans="1:3">
      <c r="A259" s="52" t="str">
        <f>IF(Textes!F$2=1,B259,IF(Textes!F$2=2,C259,IF(Textes!F$2=3,D259,"")))</f>
        <v>Datum</v>
      </c>
      <c r="B259" s="536" t="s">
        <v>571</v>
      </c>
      <c r="C259" s="313" t="s">
        <v>572</v>
      </c>
    </row>
    <row r="260" spans="1:3">
      <c r="A260" s="52" t="str">
        <f>IF(Textes!F$2=1,B260,IF(Textes!F$2=2,C260,IF(Textes!F$2=3,D260,"")))</f>
        <v>Anzahl Tiere</v>
      </c>
      <c r="B260" s="536" t="s">
        <v>893</v>
      </c>
      <c r="C260" s="313" t="s">
        <v>807</v>
      </c>
    </row>
    <row r="261" spans="1:3">
      <c r="A261" s="52" t="str">
        <f>IF(Textes!F$2=1,B261,IF(Textes!F$2=2,C261,IF(Textes!F$2=3,D261,"")))</f>
        <v>kg LG total</v>
      </c>
      <c r="B261" s="536" t="s">
        <v>575</v>
      </c>
      <c r="C261" s="313" t="s">
        <v>576</v>
      </c>
    </row>
    <row r="262" spans="1:3">
      <c r="A262" s="52">
        <f>IF(Textes!F$2=1,B262,IF(Textes!F$2=2,C262,IF(Textes!F$2=3,D262,"")))</f>
        <v>0</v>
      </c>
      <c r="B262" s="536" t="s">
        <v>894</v>
      </c>
    </row>
    <row r="263" spans="1:3">
      <c r="A263" s="52">
        <f>IF(Textes!F$2=1,B263,IF(Textes!F$2=2,C263,IF(Textes!F$2=3,D263,"")))</f>
        <v>0</v>
      </c>
      <c r="B263" s="536" t="s">
        <v>895</v>
      </c>
    </row>
    <row r="264" spans="1:3">
      <c r="A264" s="52" t="str">
        <f>IF(Textes!F$2=1,B264,IF(Textes!F$2=2,C264,IF(Textes!F$2=3,D264,"")))</f>
        <v>Masttage</v>
      </c>
      <c r="B264" s="536" t="s">
        <v>896</v>
      </c>
      <c r="C264" s="313" t="s">
        <v>819</v>
      </c>
    </row>
    <row r="265" spans="1:3">
      <c r="A265" s="52" t="str">
        <f>IF(Textes!F$2=1,B265,IF(Textes!F$2=2,C265,IF(Textes!F$2=3,D265,"")))</f>
        <v>Faktor</v>
      </c>
      <c r="B265" s="536" t="s">
        <v>897</v>
      </c>
      <c r="C265" s="313" t="s">
        <v>820</v>
      </c>
    </row>
    <row r="266" spans="1:3">
      <c r="A266" s="52" t="str">
        <f>IF(Textes!F$2=1,B266,IF(Textes!F$2=2,C266,IF(Textes!F$2=3,D266,"")))</f>
        <v>Anzahl ge-</v>
      </c>
      <c r="B266" s="536" t="s">
        <v>898</v>
      </c>
      <c r="C266" s="313" t="s">
        <v>814</v>
      </c>
    </row>
    <row r="267" spans="1:3">
      <c r="A267" s="52" t="str">
        <f>IF(Textes!F$2=1,B267,IF(Textes!F$2=2,C267,IF(Textes!F$2=3,D267,"")))</f>
        <v>schlachtete</v>
      </c>
      <c r="B267" s="536" t="s">
        <v>899</v>
      </c>
      <c r="C267" s="313" t="s">
        <v>817</v>
      </c>
    </row>
    <row r="268" spans="1:3">
      <c r="A268" s="52" t="str">
        <f>IF(Textes!F$2=1,B268,IF(Textes!F$2=2,C268,IF(Textes!F$2=3,D268,"")))</f>
        <v>Tiere x Faktor</v>
      </c>
      <c r="B268" s="536" t="s">
        <v>900</v>
      </c>
      <c r="C268" s="313" t="s">
        <v>821</v>
      </c>
    </row>
    <row r="269" spans="1:3">
      <c r="A269" s="52" t="str">
        <f>IF(Textes!F$2=1,B269,IF(Textes!F$2=2,C269,IF(Textes!F$2=3,D269,"")))</f>
        <v>Massgebende</v>
      </c>
      <c r="B269" s="536" t="s">
        <v>901</v>
      </c>
      <c r="C269" s="313" t="s">
        <v>815</v>
      </c>
    </row>
    <row r="270" spans="1:3">
      <c r="A270" s="52" t="str">
        <f>IF(Textes!F$2=1,B270,IF(Textes!F$2=2,C270,IF(Textes!F$2=3,D270,"")))</f>
        <v>Anzahl Tiere</v>
      </c>
      <c r="B270" s="536" t="s">
        <v>902</v>
      </c>
      <c r="C270" s="313" t="s">
        <v>807</v>
      </c>
    </row>
    <row r="271" spans="1:3">
      <c r="A271" s="52" t="str">
        <f>IF(Textes!F$2=1,B271,IF(Textes!F$2=2,C271,IF(Textes!F$2=3,D271,"")))</f>
        <v>je Umtrieb</v>
      </c>
      <c r="B271" s="536" t="s">
        <v>903</v>
      </c>
      <c r="C271" s="313" t="s">
        <v>822</v>
      </c>
    </row>
    <row r="272" spans="1:3">
      <c r="A272" s="52" t="str">
        <f>IF(Textes!F$2=1,B272,IF(Textes!F$2=2,C272,IF(Textes!F$2=3,D272,"")))</f>
        <v>Umtrieb 1</v>
      </c>
      <c r="B272" s="536" t="s">
        <v>904</v>
      </c>
      <c r="C272" s="313" t="s">
        <v>823</v>
      </c>
    </row>
    <row r="273" spans="1:3">
      <c r="A273" s="52" t="str">
        <f>IF(Textes!F$2=1,B273,IF(Textes!F$2=2,C273,IF(Textes!F$2=3,D273,"")))</f>
        <v>Umtrieb 2</v>
      </c>
      <c r="B273" s="536" t="s">
        <v>905</v>
      </c>
      <c r="C273" s="313" t="s">
        <v>833</v>
      </c>
    </row>
    <row r="274" spans="1:3">
      <c r="A274" s="52" t="str">
        <f>IF(Textes!F$2=1,B274,IF(Textes!F$2=2,C274,IF(Textes!F$2=3,D274,"")))</f>
        <v>Umtrieb 3</v>
      </c>
      <c r="B274" s="536" t="s">
        <v>906</v>
      </c>
      <c r="C274" s="313" t="s">
        <v>834</v>
      </c>
    </row>
    <row r="275" spans="1:3">
      <c r="A275" s="52" t="str">
        <f>IF(Textes!F$2=1,B275,IF(Textes!F$2=2,C275,IF(Textes!F$2=3,D275,"")))</f>
        <v>Umtrieb 4</v>
      </c>
      <c r="B275" s="536" t="s">
        <v>907</v>
      </c>
      <c r="C275" s="313" t="s">
        <v>835</v>
      </c>
    </row>
    <row r="276" spans="1:3">
      <c r="A276" s="52" t="str">
        <f>IF(Textes!F$2=1,B276,IF(Textes!F$2=2,C276,IF(Textes!F$2=3,D276,"")))</f>
        <v>Umtrieb 5</v>
      </c>
      <c r="B276" s="536" t="s">
        <v>908</v>
      </c>
      <c r="C276" s="313" t="s">
        <v>836</v>
      </c>
    </row>
    <row r="277" spans="1:3">
      <c r="A277" s="52" t="str">
        <f>IF(Textes!F$2=1,B277,IF(Textes!F$2=2,C277,IF(Textes!F$2=3,D277,"")))</f>
        <v>Umtrieb 6</v>
      </c>
      <c r="B277" s="536" t="s">
        <v>909</v>
      </c>
      <c r="C277" s="313" t="s">
        <v>838</v>
      </c>
    </row>
    <row r="278" spans="1:3">
      <c r="A278" s="52" t="str">
        <f>IF(Textes!F$2=1,B278,IF(Textes!F$2=2,C278,IF(Textes!F$2=3,D278,"")))</f>
        <v>Umtrieb 7</v>
      </c>
      <c r="B278" s="536" t="s">
        <v>910</v>
      </c>
      <c r="C278" s="313" t="s">
        <v>839</v>
      </c>
    </row>
    <row r="279" spans="1:3">
      <c r="A279" s="52" t="str">
        <f>IF(Textes!F$2=1,B279,IF(Textes!F$2=2,C279,IF(Textes!F$2=3,D279,"")))</f>
        <v>Umtrieb 8</v>
      </c>
      <c r="B279" s="536" t="s">
        <v>911</v>
      </c>
      <c r="C279" s="313" t="s">
        <v>840</v>
      </c>
    </row>
    <row r="280" spans="1:3">
      <c r="A280" s="52" t="str">
        <f>IF(Textes!F$2=1,B280,IF(Textes!F$2=2,C280,IF(Textes!F$2=3,D280,"")))</f>
        <v>Umtrieb 9</v>
      </c>
      <c r="B280" s="536" t="s">
        <v>912</v>
      </c>
      <c r="C280" s="313" t="s">
        <v>841</v>
      </c>
    </row>
    <row r="281" spans="1:3">
      <c r="A281" s="52" t="str">
        <f>IF(Textes!F$2=1,B281,IF(Textes!F$2=2,C281,IF(Textes!F$2=3,D281,"")))</f>
        <v>Umtrieb 10</v>
      </c>
      <c r="B281" s="536" t="s">
        <v>913</v>
      </c>
      <c r="C281" s="313" t="s">
        <v>842</v>
      </c>
    </row>
    <row r="282" spans="1:3">
      <c r="A282" s="52" t="str">
        <f>IF(Textes!F$2=1,B282,IF(Textes!F$2=2,C282,IF(Textes!F$2=3,D282,"")))</f>
        <v>Umtrieb 11</v>
      </c>
      <c r="B282" s="536" t="s">
        <v>914</v>
      </c>
      <c r="C282" s="313" t="s">
        <v>843</v>
      </c>
    </row>
    <row r="283" spans="1:3">
      <c r="A283" s="52" t="str">
        <f>IF(Textes!F$2=1,B283,IF(Textes!F$2=2,C283,IF(Textes!F$2=3,D283,"")))</f>
        <v>Umtrieb 12</v>
      </c>
      <c r="B283" s="536" t="s">
        <v>915</v>
      </c>
      <c r="C283" s="313" t="s">
        <v>845</v>
      </c>
    </row>
    <row r="284" spans="1:3">
      <c r="A284" s="52" t="str">
        <f>IF(Textes!F$2=1,B284,IF(Textes!F$2=2,C284,IF(Textes!F$2=3,D284,"")))</f>
        <v>Einstallung</v>
      </c>
      <c r="B284" s="536" t="s">
        <v>916</v>
      </c>
      <c r="C284" s="313" t="s">
        <v>824</v>
      </c>
    </row>
    <row r="285" spans="1:3">
      <c r="A285" s="52" t="str">
        <f>IF(Textes!F$2=1,B285,IF(Textes!F$2=2,C285,IF(Textes!F$2=3,D285,"")))</f>
        <v>1. Schlachtung</v>
      </c>
      <c r="B285" s="536" t="s">
        <v>917</v>
      </c>
      <c r="C285" s="313" t="s">
        <v>825</v>
      </c>
    </row>
    <row r="286" spans="1:3">
      <c r="A286" s="52" t="str">
        <f>IF(Textes!F$2=1,B286,IF(Textes!F$2=2,C286,IF(Textes!F$2=3,D286,"")))</f>
        <v>2. Schlachtung</v>
      </c>
      <c r="B286" s="536" t="s">
        <v>918</v>
      </c>
      <c r="C286" s="313" t="s">
        <v>826</v>
      </c>
    </row>
    <row r="287" spans="1:3">
      <c r="A287" s="52" t="str">
        <f>IF(Textes!F$2=1,B287,IF(Textes!F$2=2,C287,IF(Textes!F$2=3,D287,"")))</f>
        <v>3. Schlachtung</v>
      </c>
      <c r="B287" s="536" t="s">
        <v>919</v>
      </c>
      <c r="C287" s="313" t="s">
        <v>827</v>
      </c>
    </row>
    <row r="288" spans="1:3">
      <c r="A288" s="52" t="str">
        <f>IF(Textes!F$2=1,B288,IF(Textes!F$2=2,C288,IF(Textes!F$2=3,D288,"")))</f>
        <v>4. Schlachtung</v>
      </c>
      <c r="B288" s="536" t="s">
        <v>920</v>
      </c>
      <c r="C288" s="313" t="s">
        <v>12</v>
      </c>
    </row>
    <row r="289" spans="1:5">
      <c r="A289" s="52" t="str">
        <f>IF(Textes!F$2=1,B289,IF(Textes!F$2=2,C289,IF(Textes!F$2=3,D289,"")))</f>
        <v>5. Schlachtung</v>
      </c>
      <c r="B289" s="536" t="s">
        <v>921</v>
      </c>
      <c r="C289" s="313" t="s">
        <v>828</v>
      </c>
    </row>
    <row r="290" spans="1:5">
      <c r="A290" s="52" t="str">
        <f>IF(Textes!F$2=1,B290,IF(Textes!F$2=2,C290,IF(Textes!F$2=3,D290,"")))</f>
        <v>Abgänge</v>
      </c>
      <c r="B290" s="313" t="s">
        <v>68</v>
      </c>
      <c r="C290" s="313" t="s">
        <v>829</v>
      </c>
    </row>
    <row r="291" spans="1:5">
      <c r="A291" s="52" t="str">
        <f>IF(Textes!F$2=1,B291,IF(Textes!F$2=2,C291,IF(Textes!F$2=3,D291,"")))</f>
        <v>Abgänge in %</v>
      </c>
      <c r="B291" s="313" t="s">
        <v>69</v>
      </c>
      <c r="C291" s="313" t="s">
        <v>70</v>
      </c>
      <c r="E291" s="313" t="s">
        <v>20</v>
      </c>
    </row>
    <row r="292" spans="1:5">
      <c r="A292" s="52" t="str">
        <f>IF(Textes!F$2=1,B292,IF(Textes!F$2=2,C292,IF(Textes!F$2=3,D292,"")))</f>
        <v>Umtriebe</v>
      </c>
      <c r="B292" s="313" t="s">
        <v>21</v>
      </c>
      <c r="C292" s="313" t="s">
        <v>20</v>
      </c>
    </row>
    <row r="293" spans="1:5">
      <c r="A293" s="52" t="str">
        <f>IF(Textes!F$2=1,B293,IF(Textes!F$2=2,C293,IF(Textes!F$2=3,D293,"")))</f>
        <v>Tage Stall belegt</v>
      </c>
      <c r="B293" s="313" t="s">
        <v>922</v>
      </c>
      <c r="C293" s="313" t="s">
        <v>831</v>
      </c>
    </row>
    <row r="294" spans="1:5">
      <c r="A294" s="52" t="str">
        <f>IF(Textes!F$2=1,B294,IF(Textes!F$2=2,C294,IF(Textes!F$2=3,D294,"")))</f>
        <v>Tage Stall leer</v>
      </c>
      <c r="B294" s="313" t="s">
        <v>923</v>
      </c>
      <c r="C294" s="313" t="s">
        <v>832</v>
      </c>
    </row>
    <row r="295" spans="1:5">
      <c r="A295" s="52" t="str">
        <f>IF(Textes!F$2=1,B295,IF(Textes!F$2=2,C295,IF(Textes!F$2=3,D295,"")))</f>
        <v>Durchschnittlicher Bestand in massgebenden Stück</v>
      </c>
      <c r="B295" s="313" t="s">
        <v>924</v>
      </c>
      <c r="C295" s="313" t="s">
        <v>846</v>
      </c>
    </row>
    <row r="296" spans="1:5">
      <c r="A296" s="52" t="str">
        <f>IF(Textes!F$2=1,B296,IF(Textes!F$2=2,C296,IF(Textes!F$2=3,D296,"")))</f>
        <v>Anzahl Umtriebe</v>
      </c>
      <c r="B296" s="313" t="s">
        <v>925</v>
      </c>
      <c r="C296" s="313" t="s">
        <v>848</v>
      </c>
    </row>
    <row r="297" spans="1:5">
      <c r="A297" s="52" t="str">
        <f>IF(Textes!F$2=1,B297,IF(Textes!F$2=2,C297,IF(Textes!F$2=3,D297,"")))</f>
        <v>Belegungsdauer</v>
      </c>
      <c r="B297" s="313" t="s">
        <v>926</v>
      </c>
      <c r="C297" s="313" t="s">
        <v>849</v>
      </c>
    </row>
    <row r="298" spans="1:5">
      <c r="A298" s="52" t="str">
        <f>IF(Textes!F$2=1,B298,IF(Textes!F$2=2,C298,IF(Textes!F$2=3,D298,"")))</f>
        <v xml:space="preserve"> je Umtrieb</v>
      </c>
      <c r="B298" s="313" t="s">
        <v>903</v>
      </c>
      <c r="C298" s="313" t="s">
        <v>851</v>
      </c>
    </row>
    <row r="299" spans="1:5">
      <c r="A299" s="52" t="str">
        <f>IF(Textes!F$2=1,B299,IF(Textes!F$2=2,C299,IF(Textes!F$2=3,D299,"")))</f>
        <v>Belegungsdauer</v>
      </c>
      <c r="B299" s="313" t="s">
        <v>926</v>
      </c>
      <c r="C299" s="313" t="s">
        <v>849</v>
      </c>
    </row>
    <row r="300" spans="1:5">
      <c r="A300" s="52" t="str">
        <f>IF(Textes!F$2=1,B300,IF(Textes!F$2=2,C300,IF(Textes!F$2=3,D300,"")))</f>
        <v>total</v>
      </c>
      <c r="B300" s="313" t="s">
        <v>927</v>
      </c>
      <c r="C300" s="313" t="s">
        <v>855</v>
      </c>
    </row>
    <row r="301" spans="1:5">
      <c r="A301" s="52" t="str">
        <f>IF(Textes!F$2=1,B301,IF(Textes!F$2=2,C301,IF(Textes!F$2=3,D301,"")))</f>
        <v>Minimale jährliche</v>
      </c>
      <c r="B301" s="313" t="s">
        <v>926</v>
      </c>
      <c r="C301" s="313" t="s">
        <v>856</v>
      </c>
    </row>
    <row r="302" spans="1:5">
      <c r="A302" s="52" t="str">
        <f>IF(Textes!F$2=1,B302,IF(Textes!F$2=2,C302,IF(Textes!F$2=3,D302,"")))</f>
        <v>Belegungsdauer</v>
      </c>
      <c r="B302" s="313" t="s">
        <v>928</v>
      </c>
      <c r="C302" s="313" t="s">
        <v>849</v>
      </c>
    </row>
    <row r="303" spans="1:5">
      <c r="A303" s="52" t="str">
        <f>IF(Textes!F$2=1,B303,IF(Textes!F$2=2,C303,IF(Textes!F$2=3,D303,"")))</f>
        <v>(Durchschnitt, ohne Leerzeit zwischen</v>
      </c>
      <c r="B303" s="313" t="s">
        <v>929</v>
      </c>
      <c r="C303" s="313" t="s">
        <v>850</v>
      </c>
    </row>
    <row r="304" spans="1:5">
      <c r="A304" s="52" t="str">
        <f>IF(Textes!F$2=1,B304,IF(Textes!F$2=2,C304,IF(Textes!F$2=3,D304,"")))</f>
        <v>den Umtrieben)</v>
      </c>
      <c r="B304" s="313" t="s">
        <v>930</v>
      </c>
      <c r="C304" s="313" t="s">
        <v>852</v>
      </c>
    </row>
    <row r="305" spans="1:3">
      <c r="A305" s="52" t="str">
        <f>IF(Textes!F$2=1,B305,IF(Textes!F$2=2,C305,IF(Textes!F$2=3,D305,"")))</f>
        <v>(Total Tage, ohne Leerzeit zwischen</v>
      </c>
      <c r="B305" s="313" t="s">
        <v>931</v>
      </c>
      <c r="C305" s="313" t="s">
        <v>854</v>
      </c>
    </row>
    <row r="306" spans="1:3">
      <c r="A306" s="52" t="str">
        <f>IF(Textes!F$2=1,B306,IF(Textes!F$2=2,C306,IF(Textes!F$2=3,D306,"")))</f>
        <v>den Umtrieben)</v>
      </c>
      <c r="B306" s="313" t="s">
        <v>930</v>
      </c>
      <c r="C306" s="313" t="s">
        <v>852</v>
      </c>
    </row>
    <row r="307" spans="1:3">
      <c r="A307" s="52" t="str">
        <f>IF(Textes!F$2=1,B307,IF(Textes!F$2=2,C307,IF(Textes!F$2=3,D307,"")))</f>
        <v>(minimale Belegungsdauer für</v>
      </c>
      <c r="B307" s="313" t="s">
        <v>932</v>
      </c>
      <c r="C307" s="313" t="s">
        <v>858</v>
      </c>
    </row>
    <row r="308" spans="1:3">
      <c r="A308" s="52" t="str">
        <f>IF(Textes!F$2=1,B308,IF(Textes!F$2=2,C308,IF(Textes!F$2=3,D308,"")))</f>
        <v>für normale Stallnutzung)</v>
      </c>
      <c r="B308" s="313" t="s">
        <v>933</v>
      </c>
      <c r="C308" s="313" t="s">
        <v>859</v>
      </c>
    </row>
    <row r="309" spans="1:3">
      <c r="A309" s="52" t="str">
        <f>IF(Textes!F$2=1,B309,IF(Textes!F$2=2,C309,IF(Textes!F$2=3,D309,"")))</f>
        <v>Durchschnittlicher Bestand Stall 1</v>
      </c>
      <c r="B309" s="313" t="s">
        <v>934</v>
      </c>
      <c r="C309" s="313" t="s">
        <v>875</v>
      </c>
    </row>
    <row r="310" spans="1:3">
      <c r="A310" s="52" t="str">
        <f>IF(Textes!F$2=1,B310,IF(Textes!F$2=2,C310,IF(Textes!F$2=3,D310,"")))</f>
        <v>Durchschnittlicher Bestand Stall 2</v>
      </c>
      <c r="B310" s="313" t="s">
        <v>935</v>
      </c>
      <c r="C310" s="313" t="s">
        <v>937</v>
      </c>
    </row>
    <row r="311" spans="1:3">
      <c r="A311" s="52" t="str">
        <f>IF(Textes!F$2=1,B311,IF(Textes!F$2=2,C311,IF(Textes!F$2=3,D311,"")))</f>
        <v>Durchschnittlicher Bestand Stall 3</v>
      </c>
      <c r="B311" s="313" t="s">
        <v>936</v>
      </c>
      <c r="C311" s="313" t="s">
        <v>938</v>
      </c>
    </row>
    <row r="312" spans="1:3">
      <c r="A312" s="52" t="str">
        <f>IF(Textes!F$2=1,B312,IF(Textes!F$2=2,C312,IF(Textes!F$2=3,D312,"")))</f>
        <v>entspricht Bestand in GVE</v>
      </c>
      <c r="B312" s="313" t="s">
        <v>939</v>
      </c>
      <c r="C312" s="313" t="s">
        <v>860</v>
      </c>
    </row>
    <row r="313" spans="1:3">
      <c r="A313" s="52" t="str">
        <f>IF(Textes!F$2=1,B313,IF(Textes!F$2=2,C313,IF(Textes!F$2=3,D313,"")))</f>
        <v>Seite 1</v>
      </c>
      <c r="B313" s="313" t="s">
        <v>942</v>
      </c>
      <c r="C313" s="313" t="s">
        <v>940</v>
      </c>
    </row>
    <row r="314" spans="1:3">
      <c r="A314" s="52" t="str">
        <f>IF(Textes!F$2=1,B314,IF(Textes!F$2=2,C314,IF(Textes!F$2=3,D314,"")))</f>
        <v>Seite 2</v>
      </c>
      <c r="B314" s="313" t="s">
        <v>941</v>
      </c>
      <c r="C314" s="313" t="s">
        <v>837</v>
      </c>
    </row>
    <row r="315" spans="1:3">
      <c r="A315" s="52" t="str">
        <f>IF(Textes!F$2=1,B315,IF(Textes!F$2=2,C315,IF(Textes!F$2=3,D315,"")))</f>
        <v>Seite 3</v>
      </c>
      <c r="B315" s="313" t="s">
        <v>943</v>
      </c>
      <c r="C315" s="313" t="s">
        <v>844</v>
      </c>
    </row>
    <row r="316" spans="1:3">
      <c r="A316" s="52" t="str">
        <f>IF(Textes!F$2=1,B316,IF(Textes!F$2=2,C316,IF(Textes!F$2=3,D316,"")))</f>
        <v>Poulets Zusammenfassung</v>
      </c>
      <c r="B316" s="536" t="s">
        <v>47</v>
      </c>
      <c r="C316" s="313" t="s">
        <v>4</v>
      </c>
    </row>
    <row r="317" spans="1:3">
      <c r="A317" s="52" t="str">
        <f>IF(Textes!F$2=1,B317,IF(Textes!F$2=2,C317,IF(Textes!F$2=3,D317,"")))</f>
        <v xml:space="preserve">Zusammenzug massgebende Stück zur Deklaration </v>
      </c>
      <c r="B317" s="313" t="s">
        <v>949</v>
      </c>
      <c r="C317" s="313" t="s">
        <v>802</v>
      </c>
    </row>
    <row r="318" spans="1:3">
      <c r="A318" s="52" t="str">
        <f>IF(Textes!F$2=1,B318,IF(Textes!F$2=2,C318,IF(Textes!F$2=3,D318,"")))</f>
        <v>und Berechnung der GVE für die Direktzahlungen</v>
      </c>
      <c r="B318" s="313" t="s">
        <v>950</v>
      </c>
      <c r="C318" s="313" t="s">
        <v>803</v>
      </c>
    </row>
    <row r="319" spans="1:3">
      <c r="A319" s="52" t="str">
        <f>IF(Textes!F$2=1,B319,IF(Textes!F$2=2,C319,IF(Textes!F$2=3,D319,"")))</f>
        <v>Beitragsjahr:</v>
      </c>
      <c r="B319" s="313" t="s">
        <v>944</v>
      </c>
      <c r="C319" s="313" t="s">
        <v>876</v>
      </c>
    </row>
    <row r="320" spans="1:3">
      <c r="A320" s="52" t="str">
        <f>IF(Textes!F$2=1,B320,IF(Textes!F$2=2,C320,IF(Textes!F$2=3,D320,"")))</f>
        <v>Betriebsnummer:</v>
      </c>
      <c r="B320" s="313" t="s">
        <v>945</v>
      </c>
      <c r="C320" s="313" t="s">
        <v>878</v>
      </c>
    </row>
    <row r="321" spans="1:3">
      <c r="A321" s="52" t="str">
        <f>IF(Textes!F$2=1,B321,IF(Textes!F$2=2,C321,IF(Textes!F$2=3,D321,"")))</f>
        <v>Vorname, Name:</v>
      </c>
      <c r="B321" s="313" t="s">
        <v>946</v>
      </c>
      <c r="C321" s="313" t="s">
        <v>877</v>
      </c>
    </row>
    <row r="322" spans="1:3">
      <c r="A322" s="52" t="str">
        <f>IF(Textes!F$2=1,B322,IF(Textes!F$2=2,C322,IF(Textes!F$2=3,D322,"")))</f>
        <v>Adresse:</v>
      </c>
      <c r="B322" s="313" t="s">
        <v>947</v>
      </c>
      <c r="C322" s="313" t="s">
        <v>494</v>
      </c>
    </row>
    <row r="323" spans="1:3">
      <c r="A323" s="52" t="str">
        <f>IF(Textes!F$2=1,B323,IF(Textes!F$2=2,C323,IF(Textes!F$2=3,D323,"")))</f>
        <v>PLZ, Ort:</v>
      </c>
      <c r="B323" s="313" t="s">
        <v>948</v>
      </c>
      <c r="C323" s="313" t="s">
        <v>496</v>
      </c>
    </row>
    <row r="324" spans="1:3">
      <c r="A324" s="52" t="str">
        <f>IF(Textes!F$2=1,B324,IF(Textes!F$2=2,C324,IF(Textes!F$2=3,D324,"")))</f>
        <v>Anzahl belegte Ställe</v>
      </c>
      <c r="B324" s="313" t="s">
        <v>951</v>
      </c>
      <c r="C324" s="313" t="s">
        <v>804</v>
      </c>
    </row>
    <row r="325" spans="1:3">
      <c r="A325" s="52" t="str">
        <f>IF(Textes!F$2=1,B325,IF(Textes!F$2=2,C325,IF(Textes!F$2=3,D325,"")))</f>
        <v>Zu deklarieren</v>
      </c>
      <c r="B325" s="313" t="s">
        <v>0</v>
      </c>
      <c r="C325" s="313" t="s">
        <v>805</v>
      </c>
    </row>
    <row r="326" spans="1:3">
      <c r="A326" s="52" t="str">
        <f>IF(Textes!F$2=1,B326,IF(Textes!F$2=2,C326,IF(Textes!F$2=3,D326,"")))</f>
        <v>Jahr</v>
      </c>
      <c r="B326" s="313" t="s">
        <v>1</v>
      </c>
      <c r="C326" s="313" t="s">
        <v>806</v>
      </c>
    </row>
    <row r="327" spans="1:3">
      <c r="A327" s="52" t="str">
        <f>IF(Textes!F$2=1,B327,IF(Textes!F$2=2,C327,IF(Textes!F$2=3,D327,"")))</f>
        <v>Anzahl Tiere</v>
      </c>
      <c r="B327" s="313" t="s">
        <v>893</v>
      </c>
      <c r="C327" s="313" t="s">
        <v>807</v>
      </c>
    </row>
    <row r="328" spans="1:3">
      <c r="A328" s="52" t="str">
        <f>IF(Textes!F$2=1,B328,IF(Textes!F$2=2,C328,IF(Textes!F$2=3,D328,"")))</f>
        <v>GVE</v>
      </c>
      <c r="B328" s="313" t="s">
        <v>2</v>
      </c>
      <c r="C328" s="313" t="s">
        <v>808</v>
      </c>
    </row>
    <row r="329" spans="1:3">
      <c r="A329" s="52" t="str">
        <f>IF(Textes!F$2=1,B329,IF(Textes!F$2=2,C329,IF(Textes!F$2=3,D329,"")))</f>
        <v>Durchschnittsbestand</v>
      </c>
      <c r="B329" s="313" t="s">
        <v>3</v>
      </c>
      <c r="C329" s="313" t="s">
        <v>810</v>
      </c>
    </row>
    <row r="330" spans="1:3">
      <c r="A330" s="52" t="str">
        <f>IF(Textes!F$2=1,B330,IF(Textes!F$2=2,C330,IF(Textes!F$2=3,D330,"")))</f>
        <v>Stall 1</v>
      </c>
      <c r="B330" s="313" t="s">
        <v>887</v>
      </c>
      <c r="C330" s="313" t="s">
        <v>809</v>
      </c>
    </row>
    <row r="331" spans="1:3">
      <c r="A331" s="52" t="str">
        <f>IF(Textes!F$2=1,B331,IF(Textes!F$2=2,C331,IF(Textes!F$2=3,D331,"")))</f>
        <v>Stall 2</v>
      </c>
      <c r="B331" s="313" t="s">
        <v>888</v>
      </c>
      <c r="C331" s="313" t="s">
        <v>811</v>
      </c>
    </row>
    <row r="332" spans="1:3">
      <c r="A332" s="52" t="str">
        <f>IF(Textes!F$2=1,B332,IF(Textes!F$2=2,C332,IF(Textes!F$2=3,D332,"")))</f>
        <v>Stall 3</v>
      </c>
      <c r="B332" s="313" t="s">
        <v>889</v>
      </c>
      <c r="C332" s="313" t="s">
        <v>812</v>
      </c>
    </row>
    <row r="333" spans="1:3">
      <c r="A333" s="52" t="str">
        <f>IF(Textes!F$2=1,B333,IF(Textes!F$2=2,C333,IF(Textes!F$2=3,D333,"")))</f>
        <v>Tabellenblätter</v>
      </c>
      <c r="B333" s="313" t="s">
        <v>85</v>
      </c>
      <c r="C333" s="313" t="s">
        <v>92</v>
      </c>
    </row>
    <row r="334" spans="1:3">
      <c r="A334" s="52" t="str">
        <f>IF(Textes!F$2=1,B334,IF(Textes!F$2=2,C334,IF(Textes!F$2=3,D334,"")))</f>
        <v>Blatt wählen</v>
      </c>
      <c r="B334" s="313" t="s">
        <v>86</v>
      </c>
      <c r="C334" s="313" t="s">
        <v>93</v>
      </c>
    </row>
    <row r="335" spans="1:3">
      <c r="A335" s="52" t="str">
        <f>IF(Textes!F$2=1,B335,IF(Textes!F$2=2,C335,IF(Textes!F$2=3,D335,"")))</f>
        <v>Blätter drucken</v>
      </c>
      <c r="B335" s="313" t="s">
        <v>87</v>
      </c>
      <c r="C335" s="313" t="s">
        <v>94</v>
      </c>
    </row>
    <row r="336" spans="1:3">
      <c r="A336" s="52" t="str">
        <f>IF(Textes!F$2=1,B336,IF(Textes!F$2=2,C336,IF(Textes!F$2=3,D336,"")))</f>
        <v>Alles/Nichts markieren</v>
      </c>
      <c r="B336" s="313" t="s">
        <v>88</v>
      </c>
      <c r="C336" s="313" t="s">
        <v>95</v>
      </c>
    </row>
    <row r="337" spans="1:3">
      <c r="A337" s="52" t="str">
        <f>IF(Textes!F$2=1,B337,IF(Textes!F$2=2,C337,IF(Textes!F$2=3,D337,"")))</f>
        <v>Titelblatt drucken</v>
      </c>
      <c r="B337" s="313" t="s">
        <v>89</v>
      </c>
      <c r="C337" s="313" t="s">
        <v>96</v>
      </c>
    </row>
    <row r="338" spans="1:3">
      <c r="A338" s="52" t="str">
        <f>IF(Textes!F$2=1,B338,IF(Textes!F$2=2,C338,IF(Textes!F$2=3,D338,"")))</f>
        <v>Drucken</v>
      </c>
      <c r="B338" s="313" t="s">
        <v>90</v>
      </c>
      <c r="C338" s="313" t="s">
        <v>97</v>
      </c>
    </row>
    <row r="339" spans="1:3">
      <c r="A339" s="52" t="str">
        <f>IF(Textes!F$2=1,B339,IF(Textes!F$2=2,C339,IF(Textes!F$2=3,D339,"")))</f>
        <v>Abbrechen</v>
      </c>
      <c r="B339" s="313" t="s">
        <v>91</v>
      </c>
      <c r="C339" s="313" t="s">
        <v>98</v>
      </c>
    </row>
    <row r="340" spans="1:3">
      <c r="A340" s="52" t="str">
        <f>IF(Textes!F$2=1,B340,IF(Textes!F$2=2,C340,IF(Textes!F$2=3,D340,"")))</f>
        <v>Inhaltsverzeichnis</v>
      </c>
      <c r="B340" s="313" t="s">
        <v>99</v>
      </c>
      <c r="C340" s="313" t="s">
        <v>74</v>
      </c>
    </row>
    <row r="341" spans="1:3">
      <c r="A341" s="52" t="str">
        <f>IF(Textes!F$2=1,B341,IF(Textes!F$2=2,C341,IF(Textes!F$2=3,D341,"")))</f>
        <v>Betriebs-Nr:</v>
      </c>
      <c r="B341" s="313" t="s">
        <v>488</v>
      </c>
      <c r="C341" s="313" t="s">
        <v>489</v>
      </c>
    </row>
    <row r="342" spans="1:3">
      <c r="A342" s="52" t="str">
        <f>IF(Textes!F$2=1,B342,IF(Textes!F$2=2,C342,IF(Textes!F$2=3,D342,"")))</f>
        <v>Betrieb:</v>
      </c>
      <c r="B342" s="313" t="s">
        <v>101</v>
      </c>
      <c r="C342" s="313" t="s">
        <v>100</v>
      </c>
    </row>
    <row r="343" spans="1:3">
      <c r="A343" s="52" t="str">
        <f>IF(Textes!F$2=1,B343,IF(Textes!F$2=2,C343,IF(Textes!F$2=3,D343,"")))</f>
        <v>Adresse:</v>
      </c>
      <c r="B343" s="313" t="s">
        <v>494</v>
      </c>
      <c r="C343" s="313" t="s">
        <v>494</v>
      </c>
    </row>
    <row r="344" spans="1:3">
      <c r="A344" s="52" t="str">
        <f>IF(Textes!F$2=1,B344,IF(Textes!F$2=2,C344,IF(Textes!F$2=3,D344,"")))</f>
        <v>PLZ, Ort:</v>
      </c>
      <c r="B344" s="313" t="s">
        <v>495</v>
      </c>
      <c r="C344" s="313" t="s">
        <v>496</v>
      </c>
    </row>
    <row r="345" spans="1:3">
      <c r="A345" s="52" t="str">
        <f>IF(Textes!F$2=1,B345,IF(Textes!F$2=2,C345,IF(Textes!F$2=3,D345,"")))</f>
        <v>Berechnet durch:</v>
      </c>
      <c r="B345" s="313" t="s">
        <v>497</v>
      </c>
      <c r="C345" s="313" t="s">
        <v>498</v>
      </c>
    </row>
    <row r="346" spans="1:3">
      <c r="A346" s="52" t="str">
        <f>IF(Textes!F$2=1,B346,IF(Textes!F$2=2,C346,IF(Textes!F$2=3,D346,"")))</f>
        <v>Firma:</v>
      </c>
      <c r="B346" s="313" t="s">
        <v>499</v>
      </c>
      <c r="C346" s="313" t="s">
        <v>500</v>
      </c>
    </row>
    <row r="347" spans="1:3">
      <c r="A347" s="52" t="str">
        <f>IF(Textes!F$2=1,B347,IF(Textes!F$2=2,C347,IF(Textes!F$2=3,D347,"")))</f>
        <v>Telefon-Nr:</v>
      </c>
      <c r="B347" s="313" t="s">
        <v>501</v>
      </c>
      <c r="C347" s="313" t="s">
        <v>502</v>
      </c>
    </row>
    <row r="348" spans="1:3">
      <c r="A348" s="52" t="str">
        <f>IF(Textes!F$2=1,B348,IF(Textes!F$2=2,C348,IF(Textes!F$2=3,D348,"")))</f>
        <v>Periode:</v>
      </c>
      <c r="B348" s="313" t="s">
        <v>871</v>
      </c>
      <c r="C348" s="313" t="s">
        <v>872</v>
      </c>
    </row>
    <row r="349" spans="1:3">
      <c r="A349" s="52" t="str">
        <f>IF(Textes!F$2=1,B349,IF(Textes!F$2=2,C349,IF(Textes!F$2=3,D349,"")))</f>
        <v>Bedienungsanleitung</v>
      </c>
      <c r="B349" s="313" t="s">
        <v>103</v>
      </c>
      <c r="C349" s="313" t="s">
        <v>143</v>
      </c>
    </row>
    <row r="350" spans="1:3">
      <c r="A350" s="52" t="str">
        <f>IF(Textes!F$2=1,B350,IF(Textes!F$2=2,C350,IF(Textes!F$2=3,D350,"")))</f>
        <v>Inhaltsverzeichnis:</v>
      </c>
      <c r="B350" s="422" t="s">
        <v>99</v>
      </c>
      <c r="C350" s="422" t="s">
        <v>138</v>
      </c>
    </row>
    <row r="351" spans="1:3">
      <c r="A351" s="52" t="str">
        <f>IF(Textes!F$2=1,B351,IF(Textes!F$2=2,C351,IF(Textes!F$2=3,D351,"")))</f>
        <v>1 Allgemeine Hinweise zur Bedienung</v>
      </c>
      <c r="B351" s="422" t="s">
        <v>172</v>
      </c>
      <c r="C351" s="590" t="s">
        <v>144</v>
      </c>
    </row>
    <row r="352" spans="1:3">
      <c r="A352" s="52" t="str">
        <f>IF(Textes!F$2=1,B352,IF(Textes!F$2=2,C352,IF(Textes!F$2=3,D352,"")))</f>
        <v>2 Hinweise zum Ausfüllen der Tabellenblätter</v>
      </c>
      <c r="B352" s="422" t="s">
        <v>184</v>
      </c>
      <c r="C352" s="590" t="s">
        <v>145</v>
      </c>
    </row>
    <row r="353" spans="1:3">
      <c r="A353" s="52" t="str">
        <f>IF(Textes!F$2=1,B353,IF(Textes!F$2=2,C353,IF(Textes!F$2=3,D353,"")))</f>
        <v>2a) Anleitung für Schweine, Junghennen, Masttruten und Kaninchen</v>
      </c>
      <c r="B353" s="422" t="s">
        <v>169</v>
      </c>
      <c r="C353" s="590" t="s">
        <v>119</v>
      </c>
    </row>
    <row r="354" spans="1:3">
      <c r="A354" s="52" t="str">
        <f>IF(Textes!F$2=1,B354,IF(Textes!F$2=2,C354,IF(Textes!F$2=3,D354,"")))</f>
        <v>2b) Anleitung für Mastpouletsbetriebe</v>
      </c>
      <c r="B354" s="422" t="s">
        <v>170</v>
      </c>
      <c r="C354" s="590" t="s">
        <v>113</v>
      </c>
    </row>
    <row r="355" spans="1:3">
      <c r="A355" s="52" t="str">
        <f>IF(Textes!F$2=1,B355,IF(Textes!F$2=2,C355,IF(Textes!F$2=3,D355,"")))</f>
        <v>2c) Zusätzliche Hinweise für extensive Pouletmastbetriebe</v>
      </c>
      <c r="B355" s="422" t="s">
        <v>171</v>
      </c>
      <c r="C355" s="590" t="s">
        <v>137</v>
      </c>
    </row>
    <row r="356" spans="1:3">
      <c r="A356" s="52" t="str">
        <f>IF(Textes!F$2=1,B356,IF(Textes!F$2=2,C356,IF(Textes!F$2=3,D356,"")))</f>
        <v>1 Allgemeine Hinweise zur Bedienung</v>
      </c>
      <c r="B356" s="422" t="s">
        <v>172</v>
      </c>
      <c r="C356" s="590" t="s">
        <v>144</v>
      </c>
    </row>
    <row r="357" spans="1:3">
      <c r="A357" s="52" t="str">
        <f>IF(Textes!F$2=1,B357,IF(Textes!F$2=2,C357,IF(Textes!F$2=3,D357,"")))</f>
        <v xml:space="preserve">Makros: </v>
      </c>
      <c r="B357" s="422" t="s">
        <v>136</v>
      </c>
      <c r="C357" s="590" t="s">
        <v>146</v>
      </c>
    </row>
    <row r="358" spans="1:3">
      <c r="A358" s="52" t="str">
        <f>IF(Textes!F$2=1,B358,IF(Textes!F$2=2,C358,IF(Textes!F$2=3,D358,"")))</f>
        <v>Makros müssen zugelassen sein.</v>
      </c>
      <c r="B358" s="422" t="s">
        <v>173</v>
      </c>
      <c r="C358" s="590" t="s">
        <v>135</v>
      </c>
    </row>
    <row r="359" spans="1:3">
      <c r="A359" s="52" t="str">
        <f>IF(Textes!F$2=1,B359,IF(Textes!F$2=2,C359,IF(Textes!F$2=3,D359,"")))</f>
        <v>Sie erkennen, dass die Makros zugelassen sind, wenn Sie bei der Auswahl der Tierart</v>
      </c>
      <c r="B359" s="422" t="s">
        <v>373</v>
      </c>
      <c r="C359" s="590" t="s">
        <v>134</v>
      </c>
    </row>
    <row r="360" spans="1:3">
      <c r="A360" s="52" t="str">
        <f>IF(Textes!F$2=1,B360,IF(Textes!F$2=2,C360,IF(Textes!F$2=3,D360,"")))</f>
        <v>z.B. „Mastpoulets“ wählen und damit automatisch auf das Tabellenblatt Poulet1 springen.</v>
      </c>
      <c r="B360" s="422" t="s">
        <v>374</v>
      </c>
      <c r="C360" s="590" t="s">
        <v>133</v>
      </c>
    </row>
    <row r="361" spans="1:3">
      <c r="A361" s="52" t="str">
        <f>IF(Textes!F$2=1,B361,IF(Textes!F$2=2,C361,IF(Textes!F$2=3,D361,"")))</f>
        <v>=&gt; ausführliche Anleitung:</v>
      </c>
      <c r="B361" s="422" t="s">
        <v>174</v>
      </c>
      <c r="C361" s="591" t="s">
        <v>142</v>
      </c>
    </row>
    <row r="362" spans="1:3">
      <c r="A362" s="52" t="str">
        <f>IF(Textes!F$2=1,B362,IF(Textes!F$2=2,C362,IF(Textes!F$2=3,D362,"")))</f>
        <v xml:space="preserve"> www.agridea-lindau.ch &gt; Software &gt; Downloads &gt; Impex 2.6 &gt; Anleitung</v>
      </c>
      <c r="B362" s="422" t="str">
        <f>"www.agridea-lindau.ch &gt; Software &gt; Downloads &gt; Impex " &amp; Q!VersionsNummer &amp; " &gt; Instructions"</f>
        <v>www.agridea-lindau.ch &gt; Software &gt; Downloads &gt; Impex 2.6 &gt; Instructions</v>
      </c>
      <c r="C362" s="590" t="str">
        <f>" www.agridea-lindau.ch &gt; Software &gt; Downloads &gt; Impex " &amp; Q!VersionsNummer &amp; " &gt; Anleitung"</f>
        <v xml:space="preserve"> www.agridea-lindau.ch &gt; Software &gt; Downloads &gt; Impex 2.6 &gt; Anleitung</v>
      </c>
    </row>
    <row r="363" spans="1:3">
      <c r="A363" s="52" t="str">
        <f>IF(Textes!F$2=1,B363,IF(Textes!F$2=2,C363,IF(Textes!F$2=3,D363,"")))</f>
        <v xml:space="preserve">Datenerfassung: </v>
      </c>
      <c r="B363" s="422" t="s">
        <v>175</v>
      </c>
      <c r="C363" s="590" t="s">
        <v>132</v>
      </c>
    </row>
    <row r="364" spans="1:3">
      <c r="A364" s="52" t="str">
        <f>IF(Textes!F$2=1,B364,IF(Textes!F$2=2,C364,IF(Textes!F$2=3,D364,"")))</f>
        <v>Gelbe Zellen</v>
      </c>
      <c r="B364" s="422" t="s">
        <v>176</v>
      </c>
      <c r="C364" s="590" t="s">
        <v>131</v>
      </c>
    </row>
    <row r="365" spans="1:3">
      <c r="A365" s="52" t="str">
        <f>IF(Textes!F$2=1,B365,IF(Textes!F$2=2,C365,IF(Textes!F$2=3,D365,"")))</f>
        <v>Hier können Sie je nach Bedarf Text oder Zahlen eingeben</v>
      </c>
      <c r="B365" s="422" t="s">
        <v>177</v>
      </c>
      <c r="C365" s="590" t="s">
        <v>130</v>
      </c>
    </row>
    <row r="366" spans="1:3">
      <c r="A366" s="52" t="str">
        <f>IF(Textes!F$2=1,B366,IF(Textes!F$2=2,C366,IF(Textes!F$2=3,D366,"")))</f>
        <v>Weisse Zellen</v>
      </c>
      <c r="B366" s="422" t="s">
        <v>178</v>
      </c>
      <c r="C366" s="590" t="s">
        <v>129</v>
      </c>
    </row>
    <row r="367" spans="1:3">
      <c r="A367" s="52" t="str">
        <f>IF(Textes!F$2=1,B367,IF(Textes!F$2=2,C367,IF(Textes!F$2=3,D367,"")))</f>
        <v>sind grundsätzlich für die Erfassung gesperrt</v>
      </c>
      <c r="B367" s="422" t="s">
        <v>179</v>
      </c>
      <c r="C367" s="590" t="s">
        <v>128</v>
      </c>
    </row>
    <row r="368" spans="1:3">
      <c r="A368" s="52" t="str">
        <f>IF(Textes!F$2=1,B368,IF(Textes!F$2=2,C368,IF(Textes!F$2=3,D368,"")))</f>
        <v>Drucken:</v>
      </c>
      <c r="B368" s="422" t="s">
        <v>127</v>
      </c>
      <c r="C368" s="590" t="s">
        <v>126</v>
      </c>
    </row>
    <row r="369" spans="1:3">
      <c r="A369" s="52" t="str">
        <f>IF(Textes!F$2=1,B369,IF(Textes!F$2=2,C369,IF(Textes!F$2=3,D369,"")))</f>
        <v>- Excel 2007, 2010 bzw. 2013: Wählen Sie das Menu "Add-Ins"</v>
      </c>
      <c r="B369" s="422" t="s">
        <v>364</v>
      </c>
      <c r="C369" s="591" t="s">
        <v>363</v>
      </c>
    </row>
    <row r="370" spans="1:3">
      <c r="A370" s="52" t="str">
        <f>IF(Textes!F$2=1,B370,IF(Textes!F$2=2,C370,IF(Textes!F$2=3,D370,"")))</f>
        <v xml:space="preserve">  und das Untermenu "Tabellenblätter"</v>
      </c>
      <c r="B370" s="422" t="s">
        <v>251</v>
      </c>
      <c r="C370" s="590" t="s">
        <v>180</v>
      </c>
    </row>
    <row r="371" spans="1:3">
      <c r="A371" s="52" t="str">
        <f>IF(Textes!F$2=1,B371,IF(Textes!F$2=2,C371,IF(Textes!F$2=3,D371,"")))</f>
        <v>- Excel 2003: Wählen Sie das Menu "Tabellenblätter"</v>
      </c>
      <c r="B371" s="422" t="s">
        <v>268</v>
      </c>
      <c r="C371" s="590" t="s">
        <v>181</v>
      </c>
    </row>
    <row r="372" spans="1:3">
      <c r="A372" s="52" t="str">
        <f>IF(Textes!F$2=1,B372,IF(Textes!F$2=2,C372,IF(Textes!F$2=3,D372,"")))</f>
        <v>Beim Aufruf des Untermenus "drucken" erscheint eine Auswahlliste, aus welcher</v>
      </c>
      <c r="B372" s="422" t="s">
        <v>371</v>
      </c>
      <c r="C372" s="590" t="s">
        <v>125</v>
      </c>
    </row>
    <row r="373" spans="1:3">
      <c r="A373" s="52" t="str">
        <f>IF(Textes!F$2=1,B373,IF(Textes!F$2=2,C373,IF(Textes!F$2=3,D373,"")))</f>
        <v>durch Anklicken einzelne oder mehrere Tabellenblätter für den Druck markiert</v>
      </c>
      <c r="B373" s="422" t="s">
        <v>372</v>
      </c>
      <c r="C373" s="590" t="s">
        <v>124</v>
      </c>
    </row>
    <row r="374" spans="1:3">
      <c r="A374" s="52" t="str">
        <f>IF(Textes!F$2=1,B374,IF(Textes!F$2=2,C374,IF(Textes!F$2=3,D374,"")))</f>
        <v>werden können. Für die Mehrfachmarkierung halten Sie während des Vorganges</v>
      </c>
      <c r="B374" s="422" t="s">
        <v>369</v>
      </c>
      <c r="C374" s="590" t="s">
        <v>123</v>
      </c>
    </row>
    <row r="375" spans="1:3">
      <c r="A375" s="52" t="str">
        <f>IF(Textes!F$2=1,B375,IF(Textes!F$2=2,C375,IF(Textes!F$2=3,D375,"")))</f>
        <v>die Ctrl - Taste gedrückt. Das Betätigen der oberen Schaltfläche markiert alle Blätter.</v>
      </c>
      <c r="B375" s="422" t="s">
        <v>248</v>
      </c>
      <c r="C375" s="590" t="s">
        <v>235</v>
      </c>
    </row>
    <row r="376" spans="1:3">
      <c r="A376" s="52" t="str">
        <f>IF(Textes!F$2=1,B376,IF(Textes!F$2=2,C376,IF(Textes!F$2=3,D376,"")))</f>
        <v xml:space="preserve">Speichern der Datei: </v>
      </c>
      <c r="B376" s="422" t="s">
        <v>182</v>
      </c>
      <c r="C376" s="590" t="s">
        <v>122</v>
      </c>
    </row>
    <row r="377" spans="1:3">
      <c r="A377" s="52" t="str">
        <f>IF(Textes!F$2=1,B377,IF(Textes!F$2=2,C377,IF(Textes!F$2=3,D377,"")))</f>
        <v xml:space="preserve">Achtung bei Excel 2007, 2010 bzw. 2013 müssen Sie beim „Speichern unter“ </v>
      </c>
      <c r="B377" s="422" t="s">
        <v>365</v>
      </c>
      <c r="C377" s="590" t="s">
        <v>366</v>
      </c>
    </row>
    <row r="378" spans="1:3">
      <c r="A378" s="52" t="str">
        <f>IF(Textes!F$2=1,B378,IF(Textes!F$2=2,C378,IF(Textes!F$2=3,D378,"")))</f>
        <v>den Dateityp „Excel-Arbeitsmappe mit Makros“ (.xlsm) angeben.</v>
      </c>
      <c r="B378" s="422" t="s">
        <v>247</v>
      </c>
      <c r="C378" s="590" t="s">
        <v>183</v>
      </c>
    </row>
    <row r="379" spans="1:3">
      <c r="A379" s="52" t="str">
        <f>IF(Textes!F$2=1,B379,IF(Textes!F$2=2,C379,IF(Textes!F$2=3,D379,"")))</f>
        <v>2 Hinweise zum Ausfüllen der Tabellenblätter</v>
      </c>
      <c r="B379" s="422" t="s">
        <v>184</v>
      </c>
      <c r="C379" s="590" t="s">
        <v>145</v>
      </c>
    </row>
    <row r="380" spans="1:3">
      <c r="A380" s="52" t="str">
        <f>IF(Textes!F$2=1,B380,IF(Textes!F$2=2,C380,IF(Textes!F$2=3,D380,"")))</f>
        <v>Halten Sie alle Unterlagen griffbereit (Auszüge Futtermittel, Schlachtgewichte, …)</v>
      </c>
      <c r="B380" s="422" t="s">
        <v>185</v>
      </c>
      <c r="C380" s="590" t="s">
        <v>121</v>
      </c>
    </row>
    <row r="381" spans="1:3">
      <c r="A381" s="52" t="str">
        <f>IF(Textes!F$2=1,B381,IF(Textes!F$2=2,C381,IF(Textes!F$2=3,D381,"")))</f>
        <v>Keine Kommas! Alle Kommastellen und Daten sind mit einem Punkt (".") einzugeben.</v>
      </c>
      <c r="B381" s="422" t="s">
        <v>186</v>
      </c>
      <c r="C381" s="590" t="s">
        <v>120</v>
      </c>
    </row>
    <row r="382" spans="1:3">
      <c r="A382" s="52" t="str">
        <f>IF(Textes!F$2=1,B382,IF(Textes!F$2=2,C382,IF(Textes!F$2=3,D382,"")))</f>
        <v>2a) Anleitung für Schweine, Junghennen, Masttruten und Kaninchen</v>
      </c>
      <c r="B382" s="422" t="s">
        <v>187</v>
      </c>
      <c r="C382" s="590" t="s">
        <v>119</v>
      </c>
    </row>
    <row r="383" spans="1:3">
      <c r="A383" s="52" t="str">
        <f>IF(Textes!F$2=1,B383,IF(Textes!F$2=2,C383,IF(Textes!F$2=3,D383,"")))</f>
        <v>1. Start bei Tabellenblatt Inv [=Inventar]:</v>
      </c>
      <c r="B383" s="422" t="s">
        <v>188</v>
      </c>
      <c r="C383" s="591" t="s">
        <v>118</v>
      </c>
    </row>
    <row r="384" spans="1:3">
      <c r="A384" s="52" t="str">
        <f>IF(Textes!F$2=1,B384,IF(Textes!F$2=2,C384,IF(Textes!F$2=3,D384,"")))</f>
        <v xml:space="preserve"> Wählen Sie die Sprache, erfassen Sie Ihre Adresse, die Periode und Tierart</v>
      </c>
      <c r="B384" s="422" t="s">
        <v>189</v>
      </c>
      <c r="C384" s="590" t="s">
        <v>150</v>
      </c>
    </row>
    <row r="385" spans="1:3">
      <c r="A385" s="52" t="str">
        <f>IF(Textes!F$2=1,B385,IF(Textes!F$2=2,C385,IF(Textes!F$2=3,D385,"")))</f>
        <v>2. Datenerfassung auf folgenden Datenblättern (Mastpoulet =&gt; siehe Punkt 2b):</v>
      </c>
      <c r="B385" s="422" t="s">
        <v>190</v>
      </c>
      <c r="C385" s="591" t="s">
        <v>191</v>
      </c>
    </row>
    <row r="386" spans="1:3">
      <c r="A386" s="52" t="str">
        <f>IF(Textes!F$2=1,B386,IF(Textes!F$2=2,C386,IF(Textes!F$2=3,D386,"")))</f>
        <v>- zusätzlich auf dem Tabellenblatt Inv: Inventar der Futtermittel und Tiere</v>
      </c>
      <c r="B386" s="609" t="s">
        <v>376</v>
      </c>
      <c r="C386" s="591" t="s">
        <v>117</v>
      </c>
    </row>
    <row r="387" spans="1:3">
      <c r="A387" s="52" t="str">
        <f>IF(Textes!F$2=1,B387,IF(Textes!F$2=2,C387,IF(Textes!F$2=3,D387,"")))</f>
        <v xml:space="preserve">   Achtung: Futtergehalte immer in g pro kg erfassen!</v>
      </c>
      <c r="B387" s="422" t="s">
        <v>375</v>
      </c>
      <c r="C387" s="591" t="s">
        <v>159</v>
      </c>
    </row>
    <row r="388" spans="1:3">
      <c r="A388" s="52" t="str">
        <f>IF(Textes!F$2=1,B388,IF(Textes!F$2=2,C388,IF(Textes!F$2=3,D388,"")))</f>
        <v>- Tabellenblätter A1a-e: Alle Tierzugänge</v>
      </c>
      <c r="B388" s="609" t="s">
        <v>377</v>
      </c>
      <c r="C388" s="591" t="s">
        <v>116</v>
      </c>
    </row>
    <row r="389" spans="1:3">
      <c r="A389" s="52" t="str">
        <f>IF(Textes!F$2=1,B389,IF(Textes!F$2=2,C389,IF(Textes!F$2=3,D389,"")))</f>
        <v>- Tabellenblätter A2a-e: alle Tierausgänge</v>
      </c>
      <c r="B389" s="609" t="s">
        <v>378</v>
      </c>
      <c r="C389" s="591" t="s">
        <v>192</v>
      </c>
    </row>
    <row r="390" spans="1:3">
      <c r="A390" s="52" t="str">
        <f>IF(Textes!F$2=1,B390,IF(Textes!F$2=2,C390,IF(Textes!F$2=3,D390,"")))</f>
        <v xml:space="preserve">   Bei Schweinen: Aufteilung der Tierkategorien auf verschiedene Tabellenblätter</v>
      </c>
      <c r="B390" s="422" t="s">
        <v>379</v>
      </c>
      <c r="C390" s="590" t="s">
        <v>193</v>
      </c>
    </row>
    <row r="391" spans="1:3">
      <c r="A391" s="52" t="str">
        <f>IF(Textes!F$2=1,B391,IF(Textes!F$2=2,C391,IF(Textes!F$2=3,D391,"")))</f>
        <v xml:space="preserve">   und Wahl der richtigen Schlachtausbeute. Bsp: Auf A2a Mastschweine erfassen,</v>
      </c>
      <c r="B391" s="422" t="s">
        <v>380</v>
      </c>
      <c r="C391" s="590" t="s">
        <v>194</v>
      </c>
    </row>
    <row r="392" spans="1:3">
      <c r="A392" s="52" t="str">
        <f>IF(Textes!F$2=1,B392,IF(Textes!F$2=2,C392,IF(Textes!F$2=3,D392,"")))</f>
        <v xml:space="preserve">   auf A2b Muttersauen gebrüht, auf A2c Muttersauen gehäutet, etc.</v>
      </c>
      <c r="B392" s="422" t="s">
        <v>381</v>
      </c>
      <c r="C392" s="590" t="s">
        <v>195</v>
      </c>
    </row>
    <row r="393" spans="1:3">
      <c r="A393" s="52" t="str">
        <f>IF(Textes!F$2=1,B393,IF(Textes!F$2=2,C393,IF(Textes!F$2=3,D393,"")))</f>
        <v>- Tabellenblätter B1-5: alle Futtermittel</v>
      </c>
      <c r="B393" s="609" t="s">
        <v>382</v>
      </c>
      <c r="C393" s="313" t="s">
        <v>115</v>
      </c>
    </row>
    <row r="394" spans="1:3">
      <c r="A394" s="52" t="str">
        <f>IF(Textes!F$2=1,B394,IF(Textes!F$2=2,C394,IF(Textes!F$2=3,D394,"")))</f>
        <v>- Tabellenblatt Impex: zeigt die Resultate. Tierbilanz bei Mastschweinen muss Null sein.</v>
      </c>
      <c r="B394" s="609" t="s">
        <v>383</v>
      </c>
      <c r="C394" s="590" t="s">
        <v>114</v>
      </c>
    </row>
    <row r="395" spans="1:3">
      <c r="A395" s="52" t="str">
        <f>IF(Textes!F$2=1,B395,IF(Textes!F$2=2,C395,IF(Textes!F$2=3,D395,"")))</f>
        <v xml:space="preserve">- Tabellenblatt Plausi: Durchschnittsbestand eintragen und massgebenden Nährstoffanfall  </v>
      </c>
      <c r="B395" s="609" t="s">
        <v>384</v>
      </c>
      <c r="C395" s="590" t="s">
        <v>151</v>
      </c>
    </row>
    <row r="396" spans="1:3">
      <c r="A396" s="52" t="str">
        <f>IF(Textes!F$2=1,B396,IF(Textes!F$2=2,C396,IF(Textes!F$2=3,D396,"")))</f>
        <v xml:space="preserve">   auf Suisse-Bilanz übertragen</v>
      </c>
      <c r="B396" s="422" t="s">
        <v>385</v>
      </c>
      <c r="C396" s="590" t="s">
        <v>152</v>
      </c>
    </row>
    <row r="397" spans="1:3">
      <c r="A397" s="52" t="str">
        <f>IF(Textes!F$2=1,B397,IF(Textes!F$2=2,C397,IF(Textes!F$2=3,D397,"")))</f>
        <v>2b) Anleitung für Mastpouletbetriebe</v>
      </c>
      <c r="B397" s="422" t="s">
        <v>170</v>
      </c>
      <c r="C397" s="590" t="s">
        <v>236</v>
      </c>
    </row>
    <row r="398" spans="1:3">
      <c r="A398" s="52" t="str">
        <f>IF(Textes!F$2=1,B398,IF(Textes!F$2=2,C398,IF(Textes!F$2=3,D398,"")))</f>
        <v xml:space="preserve">1. Start bei Tabellenblatt Inv [Inventar]: </v>
      </c>
      <c r="B398" s="422" t="s">
        <v>196</v>
      </c>
      <c r="C398" s="590" t="s">
        <v>112</v>
      </c>
    </row>
    <row r="399" spans="1:3">
      <c r="A399" s="52" t="str">
        <f>IF(Textes!F$2=1,B399,IF(Textes!F$2=2,C399,IF(Textes!F$2=3,D399,"")))</f>
        <v>Wahl der Sprache, Erfassen von Adresse und Periode.</v>
      </c>
      <c r="B399" s="422" t="s">
        <v>197</v>
      </c>
      <c r="C399" s="590" t="s">
        <v>111</v>
      </c>
    </row>
    <row r="400" spans="1:3">
      <c r="A400" s="52" t="str">
        <f>IF(Textes!F$2=1,B400,IF(Textes!F$2=2,C400,IF(Textes!F$2=3,D400,"")))</f>
        <v>Die Periode ist immer 1.1.20xx – 31.12.20xx. Das Tierinventar ist NICHT zu erfassen.</v>
      </c>
      <c r="B400" s="422" t="s">
        <v>198</v>
      </c>
      <c r="C400" s="590" t="s">
        <v>110</v>
      </c>
    </row>
    <row r="401" spans="1:3">
      <c r="A401" s="52" t="str">
        <f>IF(Textes!F$2=1,B401,IF(Textes!F$2=2,C401,IF(Textes!F$2=3,D401,"")))</f>
        <v>Auswahl der Tierart Mastpoulets =&gt; automatisches Springen auf Tabellenblatt Poulet1</v>
      </c>
      <c r="B401" s="422" t="s">
        <v>199</v>
      </c>
      <c r="C401" s="590" t="s">
        <v>149</v>
      </c>
    </row>
    <row r="402" spans="1:3">
      <c r="A402" s="52" t="str">
        <f>IF(Textes!F$2=1,B402,IF(Textes!F$2=2,C402,IF(Textes!F$2=3,D402,"")))</f>
        <v>2. Tabellenblatt Poulet1, Poulet2, …:</v>
      </c>
      <c r="B402" s="422" t="s">
        <v>200</v>
      </c>
      <c r="C402" s="590" t="s">
        <v>201</v>
      </c>
    </row>
    <row r="403" spans="1:3">
      <c r="A403" s="52" t="str">
        <f>IF(Textes!F$2=1,B403,IF(Textes!F$2=2,C403,IF(Textes!F$2=3,D403,"")))</f>
        <v>Erfassen Sie Daten und Stückzahlen aller Umtriebe.</v>
      </c>
      <c r="B403" s="422" t="s">
        <v>202</v>
      </c>
      <c r="C403" s="590" t="s">
        <v>203</v>
      </c>
    </row>
    <row r="404" spans="1:3">
      <c r="A404" s="52" t="str">
        <f>IF(Textes!F$2=1,B404,IF(Textes!F$2=2,C404,IF(Textes!F$2=3,D404,"")))</f>
        <v>Achtung, im letzten Jahr angefangene bzw. Umtriebe, die erst im Folgejahr</v>
      </c>
      <c r="B404" s="422" t="s">
        <v>245</v>
      </c>
      <c r="C404" s="590" t="s">
        <v>204</v>
      </c>
    </row>
    <row r="405" spans="1:3">
      <c r="A405" s="52" t="str">
        <f>IF(Textes!F$2=1,B405,IF(Textes!F$2=2,C405,IF(Textes!F$2=3,D405,"")))</f>
        <v xml:space="preserve">abgeschlossen sind, sind GANZ zu erfassen. </v>
      </c>
      <c r="B405" s="422" t="s">
        <v>246</v>
      </c>
      <c r="C405" s="590" t="s">
        <v>205</v>
      </c>
    </row>
    <row r="406" spans="1:3">
      <c r="A406" s="52" t="str">
        <f>IF(Textes!F$2=1,B406,IF(Textes!F$2=2,C406,IF(Textes!F$2=3,D406,"")))</f>
        <v xml:space="preserve">Das Programm berechnet die Abgrenzung automatisch. </v>
      </c>
      <c r="B406" s="422" t="s">
        <v>244</v>
      </c>
      <c r="C406" s="590" t="s">
        <v>206</v>
      </c>
    </row>
    <row r="407" spans="1:3">
      <c r="A407" s="52" t="str">
        <f>IF(Textes!F$2=1,B407,IF(Textes!F$2=2,C407,IF(Textes!F$2=3,D407,"")))</f>
        <v>Ist der ausgewiesene Durchschnittsbestand &gt; 3'000 Stück muss auch das Lebendgewicht</v>
      </c>
      <c r="B407" s="422" t="s">
        <v>386</v>
      </c>
      <c r="C407" s="590" t="s">
        <v>207</v>
      </c>
    </row>
    <row r="408" spans="1:3">
      <c r="A408" s="52" t="str">
        <f>IF(Textes!F$2=1,B408,IF(Textes!F$2=2,C408,IF(Textes!F$2=3,D408,"")))</f>
        <v>erfasst werden und eine vollständige Import/Exportbilanz ausgefüllt werden.</v>
      </c>
      <c r="B408" s="422" t="s">
        <v>387</v>
      </c>
      <c r="C408" s="590" t="s">
        <v>208</v>
      </c>
    </row>
    <row r="409" spans="1:3">
      <c r="A409" s="52" t="str">
        <f>IF(Textes!F$2=1,B409,IF(Textes!F$2=2,C409,IF(Textes!F$2=3,D409,"")))</f>
        <v>Ist der errechnete Durchschnittsbestand &lt; 3'000 Stück, so muss</v>
      </c>
      <c r="B409" s="422" t="s">
        <v>238</v>
      </c>
      <c r="C409" s="590" t="s">
        <v>209</v>
      </c>
    </row>
    <row r="410" spans="1:3">
      <c r="A410" s="52" t="str">
        <f>IF(Textes!F$2=1,B410,IF(Textes!F$2=2,C410,IF(Textes!F$2=3,D410,"")))</f>
        <v>das Lebendgewicht nicht erfasst werden.</v>
      </c>
      <c r="B410" s="422" t="s">
        <v>239</v>
      </c>
      <c r="C410" s="590" t="s">
        <v>237</v>
      </c>
    </row>
    <row r="411" spans="1:3">
      <c r="A411" s="52" t="str">
        <f>IF(Textes!F$2=1,B411,IF(Textes!F$2=2,C411,IF(Textes!F$2=3,D411,"")))</f>
        <v xml:space="preserve">3. Schaltfläche „Zu- und Verkäufe </v>
      </c>
      <c r="B411" s="422" t="s">
        <v>389</v>
      </c>
      <c r="C411" s="590" t="s">
        <v>210</v>
      </c>
    </row>
    <row r="412" spans="1:3">
      <c r="A412" s="52" t="str">
        <f>IF(Textes!F$2=1,B412,IF(Textes!F$2=2,C412,IF(Textes!F$2=3,D412,"")))</f>
        <v xml:space="preserve">    nach A1a und A2a übertragen“ </v>
      </c>
      <c r="B412" s="422" t="s">
        <v>393</v>
      </c>
      <c r="C412" s="590" t="s">
        <v>392</v>
      </c>
    </row>
    <row r="413" spans="1:3">
      <c r="A413" s="52" t="str">
        <f>IF(Textes!F$2=1,B413,IF(Textes!F$2=2,C413,IF(Textes!F$2=3,D413,"")))</f>
        <v>Überträgt alle Tierzu- und Weggänge in die Blätter A1a-c und A2a-c.</v>
      </c>
      <c r="B413" s="422" t="s">
        <v>240</v>
      </c>
      <c r="C413" s="590" t="s">
        <v>394</v>
      </c>
    </row>
    <row r="414" spans="1:3">
      <c r="A414" s="52" t="str">
        <f>IF(Textes!F$2=1,B414,IF(Textes!F$2=2,C414,IF(Textes!F$2=3,D414,"")))</f>
        <v>Achtung, zuerst alle Umtriebe erfassen.</v>
      </c>
      <c r="B414" s="422" t="s">
        <v>211</v>
      </c>
      <c r="C414" s="590" t="s">
        <v>212</v>
      </c>
    </row>
    <row r="415" spans="1:3">
      <c r="A415" s="52" t="str">
        <f>IF(Textes!F$2=1,B415,IF(Textes!F$2=2,C415,IF(Textes!F$2=3,D415,"")))</f>
        <v>4. Tabellenblatt Inv:</v>
      </c>
      <c r="B415" s="422" t="s">
        <v>213</v>
      </c>
      <c r="C415" s="590" t="s">
        <v>214</v>
      </c>
    </row>
    <row r="416" spans="1:3">
      <c r="A416" s="52" t="str">
        <f>IF(Textes!F$2=1,B416,IF(Textes!F$2=2,C416,IF(Textes!F$2=3,D416,"")))</f>
        <v>Sie erfassen die Gehalte der Futtermittel, die Anfangs- und Endbestände.</v>
      </c>
      <c r="B416" s="422" t="s">
        <v>215</v>
      </c>
      <c r="C416" s="590" t="s">
        <v>139</v>
      </c>
    </row>
    <row r="417" spans="1:3">
      <c r="A417" s="52" t="str">
        <f>IF(Textes!F$2=1,B417,IF(Textes!F$2=2,C417,IF(Textes!F$2=3,D417,"")))</f>
        <v>Achtung, Futtermittelgehalte in Gramm erfassen. Bsp.: 21% RP = 210 g RP pro kg Futter</v>
      </c>
      <c r="B417" s="422" t="s">
        <v>388</v>
      </c>
      <c r="C417" s="590" t="s">
        <v>216</v>
      </c>
    </row>
    <row r="418" spans="1:3">
      <c r="A418" s="52" t="str">
        <f>IF(Textes!F$2=1,B418,IF(Textes!F$2=2,C418,IF(Textes!F$2=3,D418,"")))</f>
        <v>5. Tabellenblatt B1-B4:</v>
      </c>
      <c r="B418" s="422" t="s">
        <v>217</v>
      </c>
      <c r="C418" s="590" t="s">
        <v>218</v>
      </c>
    </row>
    <row r="419" spans="1:3">
      <c r="A419" s="52" t="str">
        <f>IF(Textes!F$2=1,B419,IF(Textes!F$2=2,C419,IF(Textes!F$2=3,D419,"")))</f>
        <v>Sie erfassen die Mengen der zugekauften Futtermittel.</v>
      </c>
      <c r="B419" s="422" t="s">
        <v>219</v>
      </c>
      <c r="C419" s="590" t="s">
        <v>140</v>
      </c>
    </row>
    <row r="420" spans="1:3">
      <c r="A420" s="52" t="str">
        <f>IF(Textes!F$2=1,B420,IF(Textes!F$2=2,C420,IF(Textes!F$2=3,D420,"")))</f>
        <v>Abgleich der Jahresliefermenge mit Auszügen der Futtermühle.</v>
      </c>
      <c r="B420" s="422" t="s">
        <v>220</v>
      </c>
      <c r="C420" s="590" t="s">
        <v>141</v>
      </c>
    </row>
    <row r="421" spans="1:3">
      <c r="A421" s="52" t="str">
        <f>IF(Textes!F$2=1,B421,IF(Textes!F$2=2,C421,IF(Textes!F$2=3,D421,"")))</f>
        <v>6. Tabellenblatt Poulet_tot:</v>
      </c>
      <c r="B421" s="422" t="s">
        <v>221</v>
      </c>
      <c r="C421" s="590" t="s">
        <v>222</v>
      </c>
    </row>
    <row r="422" spans="1:3">
      <c r="A422" s="52" t="str">
        <f>IF(Textes!F$2=1,B422,IF(Textes!F$2=2,C422,IF(Textes!F$2=3,D422,"")))</f>
        <v>Resultate zum Durchschnittsbestand</v>
      </c>
      <c r="B422" s="422" t="s">
        <v>223</v>
      </c>
      <c r="C422" s="590" t="s">
        <v>109</v>
      </c>
    </row>
    <row r="423" spans="1:3">
      <c r="A423" s="52" t="str">
        <f>IF(Textes!F$2=1,B423,IF(Textes!F$2=2,C423,IF(Textes!F$2=3,D423,"")))</f>
        <v>7. Tabellenblatt Impex:</v>
      </c>
      <c r="B423" s="422" t="s">
        <v>224</v>
      </c>
      <c r="C423" s="590" t="s">
        <v>225</v>
      </c>
    </row>
    <row r="424" spans="1:3">
      <c r="A424" s="52" t="str">
        <f>IF(Textes!F$2=1,B424,IF(Textes!F$2=2,C424,IF(Textes!F$2=3,D424,"")))</f>
        <v xml:space="preserve">Resultate für die Import-Export-Bilanz. </v>
      </c>
      <c r="B424" s="422" t="s">
        <v>226</v>
      </c>
      <c r="C424" s="590" t="s">
        <v>108</v>
      </c>
    </row>
    <row r="425" spans="1:3">
      <c r="A425" s="52" t="str">
        <f>IF(Textes!F$2=1,B425,IF(Textes!F$2=2,C425,IF(Textes!F$2=3,D425,"")))</f>
        <v>Achtung zur Kontrolle: Tierbilanz muss Null sein, Futterverwertung soll plausibel sein.</v>
      </c>
      <c r="B425" s="422" t="s">
        <v>227</v>
      </c>
      <c r="C425" s="590" t="s">
        <v>107</v>
      </c>
    </row>
    <row r="426" spans="1:3">
      <c r="A426" s="52" t="str">
        <f>IF(Textes!F$2=1,B426,IF(Textes!F$2=2,C426,IF(Textes!F$2=3,D426,"")))</f>
        <v>8. Tabellenblatt Plausi:</v>
      </c>
      <c r="B426" s="422" t="s">
        <v>228</v>
      </c>
      <c r="C426" s="590" t="s">
        <v>229</v>
      </c>
    </row>
    <row r="427" spans="1:3">
      <c r="A427" s="52" t="str">
        <f>IF(Textes!F$2=1,B427,IF(Textes!F$2=2,C427,IF(Textes!F$2=3,D427,"")))</f>
        <v>Massgebenden Nährstoffanfall auf Suisse-Bilanz übertragen.</v>
      </c>
      <c r="B427" s="313" t="s">
        <v>337</v>
      </c>
      <c r="C427" s="422" t="s">
        <v>430</v>
      </c>
    </row>
    <row r="428" spans="1:3">
      <c r="A428" s="52" t="str">
        <f>IF(Textes!F$2=1,B428,IF(Textes!F$2=2,C428,IF(Textes!F$2=3,D428,"")))</f>
        <v>2c) Zusätzliche Hinweise für extensive Pouletmäster (Bio)</v>
      </c>
      <c r="B428" s="313" t="s">
        <v>230</v>
      </c>
      <c r="C428" s="313" t="s">
        <v>106</v>
      </c>
    </row>
    <row r="429" spans="1:3">
      <c r="A429" s="52" t="str">
        <f>IF(Textes!F$2=1,B429,IF(Textes!F$2=2,C429,IF(Textes!F$2=3,D429,"")))</f>
        <v xml:space="preserve">Betriebe mit Vor- und Ausmaststall: </v>
      </c>
      <c r="B429" s="313" t="s">
        <v>250</v>
      </c>
      <c r="C429" s="313" t="s">
        <v>105</v>
      </c>
    </row>
    <row r="430" spans="1:3">
      <c r="A430" s="52" t="str">
        <f>IF(Textes!F$2=1,B430,IF(Textes!F$2=2,C430,IF(Textes!F$2=3,D430,"")))</f>
        <v xml:space="preserve"> </v>
      </c>
      <c r="B430" s="313" t="s">
        <v>249</v>
      </c>
      <c r="C430" s="313" t="s">
        <v>390</v>
      </c>
    </row>
    <row r="431" spans="1:3">
      <c r="A431" s="52" t="str">
        <f>IF(Textes!F$2=1,B431,IF(Textes!F$2=2,C431,IF(Textes!F$2=3,D431,"")))</f>
        <v xml:space="preserve">Erfassen die Umtriebe alternierend auf Tabellenblatt Poulet1 und Poulet 2. </v>
      </c>
      <c r="B431" s="313" t="s">
        <v>231</v>
      </c>
      <c r="C431" s="313" t="s">
        <v>104</v>
      </c>
    </row>
    <row r="432" spans="1:3">
      <c r="A432" s="52" t="str">
        <f>IF(Textes!F$2=1,B432,IF(Textes!F$2=2,C432,IF(Textes!F$2=3,D432,"")))</f>
        <v>Beispiel: Umtriebe 1, 3, 5 =&gt; Tabellenblatt Poulet 1; Umtriebe 2, 4, 6 =&gt; Tabellenblatt Poulet2</v>
      </c>
      <c r="B432" s="313" t="s">
        <v>232</v>
      </c>
      <c r="C432" s="313" t="s">
        <v>148</v>
      </c>
    </row>
    <row r="433" spans="1:3">
      <c r="A433" s="52" t="str">
        <f>IF(Textes!F$2=1,B433,IF(Textes!F$2=2,C433,IF(Textes!F$2=3,D433,"")))</f>
        <v>Zum Tabellenblatt "Inv" wechseln</v>
      </c>
      <c r="B433" s="313" t="s">
        <v>233</v>
      </c>
      <c r="C433" s="313" t="s">
        <v>147</v>
      </c>
    </row>
    <row r="434" spans="1:3">
      <c r="A434" s="52" t="str">
        <f>IF(Textes!F$2=1,B434,IF(Textes!F$2=2,C434,IF(Textes!F$2=3,D434,"")))</f>
        <v>Schlachtausbeute:</v>
      </c>
      <c r="B434" s="313" t="s">
        <v>234</v>
      </c>
      <c r="C434" s="313" t="s">
        <v>154</v>
      </c>
    </row>
  </sheetData>
  <phoneticPr fontId="28" type="noConversion"/>
  <pageMargins left="0.78740157499999996" right="0.78740157499999996" top="0.984251969" bottom="0.984251969" header="0.4921259845" footer="0.4921259845"/>
  <pageSetup paperSize="9" orientation="portrait" r:id="rId1"/>
  <headerFooter alignWithMargins="0">
    <oddFooter>&amp;L&amp;"Arial,Fett"&amp;11AGRIDEA &amp;"Arial,Standard"&amp;9Impex, Version 2.6&amp;R&amp;"Arial,Standard"&amp;9&amp;D / Seite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E36"/>
  <sheetViews>
    <sheetView showRowColHeaders="0" showZeros="0" workbookViewId="0"/>
  </sheetViews>
  <sheetFormatPr baseColWidth="10" defaultRowHeight="12.75"/>
  <cols>
    <col min="2" max="2" width="15.140625" customWidth="1"/>
    <col min="3" max="3" width="8.42578125" customWidth="1"/>
    <col min="4" max="4" width="101.140625" customWidth="1"/>
    <col min="5" max="5" width="15.42578125" customWidth="1"/>
  </cols>
  <sheetData>
    <row r="1" spans="1:5">
      <c r="A1" s="343" t="s">
        <v>572</v>
      </c>
      <c r="B1" s="343" t="s">
        <v>765</v>
      </c>
      <c r="C1" s="343" t="s">
        <v>160</v>
      </c>
      <c r="D1" s="344" t="s">
        <v>766</v>
      </c>
      <c r="E1" s="343" t="s">
        <v>767</v>
      </c>
    </row>
    <row r="2" spans="1:5">
      <c r="A2" s="341">
        <v>38132</v>
      </c>
      <c r="B2" t="s">
        <v>400</v>
      </c>
      <c r="C2" s="607"/>
      <c r="D2" s="342" t="s">
        <v>768</v>
      </c>
      <c r="E2" t="s">
        <v>769</v>
      </c>
    </row>
    <row r="3" spans="1:5" ht="25.5">
      <c r="A3" s="341">
        <v>38132</v>
      </c>
      <c r="B3" t="s">
        <v>400</v>
      </c>
      <c r="C3" s="607"/>
      <c r="D3" s="342" t="s">
        <v>770</v>
      </c>
      <c r="E3" t="s">
        <v>769</v>
      </c>
    </row>
    <row r="4" spans="1:5" ht="38.25">
      <c r="A4" s="341">
        <v>38140</v>
      </c>
      <c r="B4" t="s">
        <v>771</v>
      </c>
      <c r="C4" s="607"/>
      <c r="D4" s="342" t="s">
        <v>772</v>
      </c>
      <c r="E4" t="s">
        <v>773</v>
      </c>
    </row>
    <row r="5" spans="1:5">
      <c r="A5" s="341">
        <v>38180</v>
      </c>
      <c r="B5" t="s">
        <v>771</v>
      </c>
      <c r="C5" s="607"/>
      <c r="D5" s="342" t="s">
        <v>774</v>
      </c>
      <c r="E5" t="s">
        <v>775</v>
      </c>
    </row>
    <row r="6" spans="1:5">
      <c r="A6" s="341">
        <v>38180</v>
      </c>
      <c r="B6" t="s">
        <v>400</v>
      </c>
      <c r="C6" s="607"/>
      <c r="D6" s="342" t="s">
        <v>776</v>
      </c>
      <c r="E6" t="s">
        <v>775</v>
      </c>
    </row>
    <row r="7" spans="1:5">
      <c r="A7" s="341">
        <v>38218</v>
      </c>
      <c r="B7" t="s">
        <v>777</v>
      </c>
      <c r="C7" s="607"/>
      <c r="D7" s="342" t="s">
        <v>778</v>
      </c>
      <c r="E7" t="s">
        <v>775</v>
      </c>
    </row>
    <row r="8" spans="1:5">
      <c r="A8" s="341">
        <v>38258</v>
      </c>
      <c r="B8" t="s">
        <v>400</v>
      </c>
      <c r="C8" s="607"/>
      <c r="D8" s="342" t="s">
        <v>779</v>
      </c>
      <c r="E8" t="s">
        <v>769</v>
      </c>
    </row>
    <row r="9" spans="1:5" ht="51">
      <c r="A9" s="341">
        <v>39314</v>
      </c>
      <c r="B9" t="s">
        <v>400</v>
      </c>
      <c r="C9" s="607"/>
      <c r="D9" s="342" t="s">
        <v>786</v>
      </c>
      <c r="E9" s="342" t="s">
        <v>790</v>
      </c>
    </row>
    <row r="10" spans="1:5">
      <c r="A10" s="341">
        <v>39518</v>
      </c>
      <c r="B10" t="s">
        <v>400</v>
      </c>
      <c r="C10" s="607"/>
      <c r="D10" s="342" t="s">
        <v>788</v>
      </c>
      <c r="E10" t="s">
        <v>789</v>
      </c>
    </row>
    <row r="11" spans="1:5">
      <c r="A11" s="341">
        <v>39541</v>
      </c>
      <c r="B11" t="s">
        <v>787</v>
      </c>
      <c r="C11" s="607"/>
      <c r="D11" s="342" t="s">
        <v>791</v>
      </c>
      <c r="E11" t="s">
        <v>789</v>
      </c>
    </row>
    <row r="12" spans="1:5">
      <c r="A12" s="341">
        <v>39820</v>
      </c>
      <c r="B12" t="s">
        <v>400</v>
      </c>
      <c r="C12" s="607"/>
      <c r="D12" s="342" t="s">
        <v>791</v>
      </c>
      <c r="E12" t="s">
        <v>801</v>
      </c>
    </row>
    <row r="13" spans="1:5" ht="25.5">
      <c r="A13" s="341">
        <v>40344</v>
      </c>
      <c r="B13" t="s">
        <v>400</v>
      </c>
      <c r="C13" s="607"/>
      <c r="D13" s="342" t="s">
        <v>869</v>
      </c>
      <c r="E13" s="342" t="s">
        <v>870</v>
      </c>
    </row>
    <row r="14" spans="1:5" ht="24.75" customHeight="1">
      <c r="A14" s="341">
        <v>40420</v>
      </c>
      <c r="B14" t="s">
        <v>400</v>
      </c>
      <c r="C14" s="607"/>
      <c r="D14" s="342" t="s">
        <v>13</v>
      </c>
    </row>
    <row r="15" spans="1:5" ht="25.5">
      <c r="A15" s="341">
        <v>40420</v>
      </c>
      <c r="C15" s="607"/>
      <c r="D15" s="342" t="s">
        <v>14</v>
      </c>
    </row>
    <row r="16" spans="1:5">
      <c r="A16" s="341">
        <v>40490</v>
      </c>
      <c r="C16" s="607"/>
      <c r="D16" s="342" t="s">
        <v>17</v>
      </c>
    </row>
    <row r="17" spans="1:5" ht="12.75" customHeight="1">
      <c r="A17" s="341">
        <v>40490</v>
      </c>
      <c r="B17" t="s">
        <v>400</v>
      </c>
      <c r="C17" s="607"/>
      <c r="D17" s="342" t="s">
        <v>15</v>
      </c>
      <c r="E17" t="s">
        <v>16</v>
      </c>
    </row>
    <row r="18" spans="1:5">
      <c r="A18" s="341">
        <v>40555</v>
      </c>
      <c r="B18" t="s">
        <v>400</v>
      </c>
      <c r="C18" s="607"/>
      <c r="D18" s="342" t="s">
        <v>52</v>
      </c>
      <c r="E18" t="s">
        <v>18</v>
      </c>
    </row>
    <row r="19" spans="1:5">
      <c r="A19" s="341">
        <v>40814</v>
      </c>
      <c r="B19" t="s">
        <v>400</v>
      </c>
      <c r="C19" s="607"/>
      <c r="D19" s="342" t="s">
        <v>40</v>
      </c>
      <c r="E19" t="s">
        <v>41</v>
      </c>
    </row>
    <row r="20" spans="1:5">
      <c r="A20" s="341">
        <v>40826</v>
      </c>
      <c r="B20" t="s">
        <v>400</v>
      </c>
      <c r="C20" s="607"/>
      <c r="D20" t="s">
        <v>55</v>
      </c>
      <c r="E20" t="s">
        <v>51</v>
      </c>
    </row>
    <row r="21" spans="1:5">
      <c r="A21" s="341">
        <v>40893</v>
      </c>
      <c r="B21" t="s">
        <v>400</v>
      </c>
      <c r="C21" s="607"/>
      <c r="D21" s="342" t="s">
        <v>67</v>
      </c>
      <c r="E21" t="s">
        <v>64</v>
      </c>
    </row>
    <row r="22" spans="1:5">
      <c r="A22" s="341">
        <v>40918</v>
      </c>
      <c r="B22" t="s">
        <v>400</v>
      </c>
      <c r="C22" s="607"/>
      <c r="D22" s="342" t="s">
        <v>71</v>
      </c>
      <c r="E22" t="s">
        <v>72</v>
      </c>
    </row>
    <row r="23" spans="1:5">
      <c r="A23" s="341">
        <v>40934</v>
      </c>
      <c r="B23" t="s">
        <v>400</v>
      </c>
      <c r="C23" s="607"/>
      <c r="D23" s="342" t="s">
        <v>73</v>
      </c>
    </row>
    <row r="24" spans="1:5">
      <c r="A24" s="341">
        <v>41009</v>
      </c>
      <c r="B24" t="s">
        <v>400</v>
      </c>
      <c r="C24" s="607" t="s">
        <v>161</v>
      </c>
      <c r="D24" s="342" t="s">
        <v>163</v>
      </c>
    </row>
    <row r="25" spans="1:5">
      <c r="A25" s="341">
        <v>41152</v>
      </c>
      <c r="B25" t="s">
        <v>400</v>
      </c>
      <c r="C25" s="607">
        <v>2.4</v>
      </c>
      <c r="D25" t="s">
        <v>164</v>
      </c>
      <c r="E25" t="s">
        <v>162</v>
      </c>
    </row>
    <row r="26" spans="1:5">
      <c r="D26" s="342" t="s">
        <v>165</v>
      </c>
    </row>
    <row r="27" spans="1:5">
      <c r="D27" s="342" t="s">
        <v>166</v>
      </c>
    </row>
    <row r="28" spans="1:5" ht="12.75" customHeight="1">
      <c r="D28" s="342" t="s">
        <v>167</v>
      </c>
    </row>
    <row r="29" spans="1:5">
      <c r="D29" s="342" t="s">
        <v>168</v>
      </c>
    </row>
    <row r="30" spans="1:5">
      <c r="A30" t="s">
        <v>273</v>
      </c>
      <c r="D30" s="342"/>
    </row>
    <row r="31" spans="1:5">
      <c r="A31" s="341">
        <v>41464</v>
      </c>
      <c r="B31" t="s">
        <v>400</v>
      </c>
      <c r="C31" s="607">
        <v>2.5</v>
      </c>
      <c r="D31" s="342" t="s">
        <v>272</v>
      </c>
      <c r="E31" t="s">
        <v>296</v>
      </c>
    </row>
    <row r="32" spans="1:5" ht="63.75">
      <c r="A32" s="341">
        <v>41677</v>
      </c>
      <c r="B32" t="s">
        <v>400</v>
      </c>
      <c r="C32" t="s">
        <v>297</v>
      </c>
      <c r="D32" s="342" t="s">
        <v>298</v>
      </c>
      <c r="E32" t="s">
        <v>299</v>
      </c>
    </row>
    <row r="33" spans="1:5" ht="51">
      <c r="A33" s="341">
        <v>42059</v>
      </c>
      <c r="B33" t="s">
        <v>400</v>
      </c>
      <c r="C33" s="607" t="s">
        <v>347</v>
      </c>
      <c r="D33" s="342" t="s">
        <v>367</v>
      </c>
    </row>
    <row r="34" spans="1:5" ht="41.25" customHeight="1">
      <c r="A34" s="341">
        <v>42184</v>
      </c>
      <c r="B34" t="s">
        <v>400</v>
      </c>
      <c r="C34" s="607">
        <v>2.6</v>
      </c>
      <c r="D34" s="342" t="s">
        <v>574</v>
      </c>
      <c r="E34" t="s">
        <v>429</v>
      </c>
    </row>
    <row r="35" spans="1:5">
      <c r="D35" s="342" t="s">
        <v>391</v>
      </c>
      <c r="E35" t="s">
        <v>299</v>
      </c>
    </row>
    <row r="36" spans="1:5" ht="25.5">
      <c r="D36" s="342" t="s">
        <v>81</v>
      </c>
      <c r="E36" t="s">
        <v>82</v>
      </c>
    </row>
  </sheetData>
  <phoneticPr fontId="28" type="noConversion"/>
  <pageMargins left="0.78740157499999996" right="0.78740157499999996" top="0.984251969" bottom="0.984251969" header="0.4921259845" footer="0.4921259845"/>
  <pageSetup paperSize="9" orientation="landscape" r:id="rId1"/>
  <headerFooter alignWithMargins="0">
    <oddFooter>&amp;L&amp;"Arial,Fett"&amp;11AGRIDEA &amp;"Arial,Standard"&amp;9Impex, Version 2.6&amp;R&amp;"Arial,Standard"&amp;9&amp;D / Seite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sheetData/>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sheetData/>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B1:X89"/>
  <sheetViews>
    <sheetView showGridLines="0" showRowColHeaders="0" zoomScaleNormal="100" workbookViewId="0">
      <selection activeCell="D4" sqref="D4"/>
    </sheetView>
  </sheetViews>
  <sheetFormatPr baseColWidth="10" defaultColWidth="11.42578125" defaultRowHeight="12.75"/>
  <cols>
    <col min="1" max="1" width="1.42578125" style="1" customWidth="1"/>
    <col min="2" max="2" width="5.140625" style="1" customWidth="1"/>
    <col min="3" max="3" width="12.5703125" style="1" customWidth="1"/>
    <col min="4" max="4" width="20" style="1" customWidth="1"/>
    <col min="5" max="5" width="9.7109375" style="1" customWidth="1"/>
    <col min="6" max="7" width="8" style="1" customWidth="1"/>
    <col min="8" max="8" width="11.7109375" style="1" customWidth="1"/>
    <col min="9" max="10" width="8" style="1" customWidth="1"/>
    <col min="11" max="11" width="11.7109375" style="1" customWidth="1"/>
    <col min="12" max="12" width="1.42578125" style="40" customWidth="1"/>
    <col min="13" max="13" width="16.5703125" style="40" hidden="1" customWidth="1"/>
    <col min="14" max="21" width="0" style="1" hidden="1" customWidth="1"/>
    <col min="22" max="23" width="11.42578125" style="1"/>
    <col min="24" max="24" width="11.42578125" style="6"/>
    <col min="25" max="16384" width="11.42578125" style="1"/>
  </cols>
  <sheetData>
    <row r="1" spans="2:21" ht="39.950000000000003" customHeight="1">
      <c r="B1" s="185"/>
      <c r="C1" s="185"/>
      <c r="D1" s="185"/>
      <c r="E1" s="667" t="str">
        <f>"Impex:"&amp;"   "&amp;R3</f>
        <v>Impex:   Mastpoulets</v>
      </c>
      <c r="F1" s="186"/>
      <c r="G1" s="185"/>
      <c r="H1" s="185"/>
      <c r="I1" s="185"/>
      <c r="J1" s="185"/>
      <c r="K1" s="187" t="str">
        <f>+Textes!A8</f>
        <v>Anfangs-/Endinventar</v>
      </c>
    </row>
    <row r="2" spans="2:21" ht="7.7" customHeight="1"/>
    <row r="3" spans="2:21" s="42" customFormat="1" ht="15.75">
      <c r="B3" s="41"/>
      <c r="C3" s="41"/>
      <c r="D3" s="41"/>
      <c r="E3" s="41"/>
      <c r="L3" s="43"/>
      <c r="M3" s="43"/>
      <c r="R3" s="1" t="str">
        <f>IF(Textes!G2=1,Textes!G3,IF(Textes!G2=2,Textes!G4,IF(Textes!G2=3,Textes!G5,IF(Textes!G2=4,Textes!G6,IF(Textes!G2=5,Textes!G7)))))</f>
        <v>Mastpoulets</v>
      </c>
      <c r="S3" s="624" t="b">
        <v>0</v>
      </c>
    </row>
    <row r="4" spans="2:21" s="42" customFormat="1" ht="15.75">
      <c r="C4" s="110" t="str">
        <f>+Textes!A9&amp;"    "</f>
        <v xml:space="preserve">Betriebs-Nr:    </v>
      </c>
      <c r="D4" s="572"/>
      <c r="E4" s="639"/>
      <c r="H4" s="256" t="str">
        <f>Textes!A15&amp;"    "</f>
        <v xml:space="preserve">Berechnet durch:    </v>
      </c>
      <c r="I4" s="572"/>
      <c r="J4" s="639"/>
      <c r="K4" s="640"/>
      <c r="L4" s="43"/>
      <c r="M4" s="43"/>
    </row>
    <row r="5" spans="2:21" s="42" customFormat="1" ht="15.75">
      <c r="C5" s="110" t="str">
        <f>+Textes!A10&amp;"    "</f>
        <v xml:space="preserve">Name:    </v>
      </c>
      <c r="D5" s="572"/>
      <c r="E5" s="639"/>
      <c r="H5" s="256" t="str">
        <f>+Textes!A17&amp;"    "</f>
        <v xml:space="preserve">Telefon-Nr:    </v>
      </c>
      <c r="I5" s="625"/>
      <c r="J5" s="641"/>
      <c r="K5" s="640"/>
      <c r="L5" s="43"/>
      <c r="M5" s="43"/>
    </row>
    <row r="6" spans="2:21" s="42" customFormat="1" ht="15.95" customHeight="1">
      <c r="C6" s="110" t="str">
        <f>+Textes!A11&amp;"    "</f>
        <v xml:space="preserve">Vorname:    </v>
      </c>
      <c r="D6" s="572"/>
      <c r="E6" s="639"/>
      <c r="G6" s="256"/>
      <c r="H6" s="256" t="str">
        <f>+Textes!A18&amp;"    "</f>
        <v xml:space="preserve">Fax / E-Mail:    </v>
      </c>
      <c r="I6" s="695"/>
      <c r="J6" s="696"/>
      <c r="K6" s="696"/>
      <c r="L6" s="43"/>
      <c r="M6" s="43"/>
    </row>
    <row r="7" spans="2:21" s="42" customFormat="1" ht="15.75">
      <c r="C7" s="110" t="str">
        <f>+Textes!A13&amp;"    "</f>
        <v xml:space="preserve">Adresse:    </v>
      </c>
      <c r="D7" s="572"/>
      <c r="E7" s="639"/>
      <c r="G7" s="256"/>
      <c r="H7" s="256" t="str">
        <f>+Textes!A16&amp;"    "</f>
        <v xml:space="preserve">Firma:    </v>
      </c>
      <c r="I7" s="248"/>
      <c r="J7" s="642"/>
      <c r="K7" s="642"/>
      <c r="L7" s="43"/>
      <c r="M7" s="43"/>
    </row>
    <row r="8" spans="2:21" s="42" customFormat="1" ht="15.75">
      <c r="C8" s="110" t="str">
        <f>+Textes!A12&amp;"    "</f>
        <v xml:space="preserve">Adresszusatz:    </v>
      </c>
      <c r="D8" s="572"/>
      <c r="E8" s="639"/>
      <c r="G8" s="256"/>
      <c r="H8" s="256" t="str">
        <f>+Textes!A20&amp;"    "</f>
        <v xml:space="preserve">Datum Anfang:    </v>
      </c>
      <c r="I8" s="694"/>
      <c r="J8" s="694"/>
      <c r="K8" s="642"/>
      <c r="L8" s="43"/>
      <c r="M8" s="43"/>
    </row>
    <row r="9" spans="2:21" s="42" customFormat="1" ht="15.75">
      <c r="C9" s="110" t="str">
        <f>+Textes!A14&amp;"    "</f>
        <v xml:space="preserve">PLZ, Ort:    </v>
      </c>
      <c r="D9" s="572"/>
      <c r="E9" s="639"/>
      <c r="G9" s="256"/>
      <c r="H9" s="256" t="str">
        <f>+Textes!A21&amp;"    "</f>
        <v xml:space="preserve">Datum Ende:    </v>
      </c>
      <c r="I9" s="694"/>
      <c r="J9" s="694"/>
      <c r="K9" s="642"/>
      <c r="L9" s="43"/>
      <c r="M9" s="43"/>
    </row>
    <row r="10" spans="2:21" ht="9.9499999999999993" customHeight="1"/>
    <row r="11" spans="2:21" s="6" customFormat="1" ht="15">
      <c r="B11" s="44"/>
      <c r="C11" s="627"/>
      <c r="D11" s="627"/>
      <c r="E11" s="643" t="str">
        <f>+Textes!A25</f>
        <v>maximale</v>
      </c>
      <c r="F11" s="182" t="str">
        <f>+Textes!A27</f>
        <v>Anfang der Periode</v>
      </c>
      <c r="G11" s="183"/>
      <c r="H11" s="178"/>
      <c r="I11" s="182" t="str">
        <f>+Textes!A28</f>
        <v>Ende der Periode</v>
      </c>
      <c r="J11" s="183"/>
      <c r="K11" s="178"/>
      <c r="L11" s="45"/>
      <c r="M11" s="45"/>
      <c r="N11" s="6" t="s">
        <v>438</v>
      </c>
      <c r="R11" s="6" t="s">
        <v>439</v>
      </c>
    </row>
    <row r="12" spans="2:21" s="6" customFormat="1" ht="15">
      <c r="B12" s="46" t="str">
        <f>+Textes!A24</f>
        <v>Tierinventar</v>
      </c>
      <c r="C12" s="628"/>
      <c r="D12" s="628"/>
      <c r="E12" s="644" t="str">
        <f>+Textes!A29</f>
        <v>Anzahl</v>
      </c>
      <c r="F12" s="657" t="str">
        <f>+Textes!A29</f>
        <v>Anzahl</v>
      </c>
      <c r="G12" s="658" t="str">
        <f>+Textes!A30</f>
        <v>Gewicht</v>
      </c>
      <c r="H12" s="659" t="str">
        <f>+G12</f>
        <v>Gewicht</v>
      </c>
      <c r="I12" s="657" t="str">
        <f>+F12</f>
        <v>Anzahl</v>
      </c>
      <c r="J12" s="660" t="str">
        <f>+G12</f>
        <v>Gewicht</v>
      </c>
      <c r="K12" s="661" t="str">
        <f>+H12</f>
        <v>Gewicht</v>
      </c>
      <c r="L12" s="45"/>
      <c r="M12" s="45"/>
      <c r="N12" s="6" t="s">
        <v>440</v>
      </c>
      <c r="P12" s="6" t="s">
        <v>441</v>
      </c>
      <c r="R12" s="6" t="s">
        <v>440</v>
      </c>
      <c r="T12" s="6" t="s">
        <v>442</v>
      </c>
    </row>
    <row r="13" spans="2:21" s="6" customFormat="1" ht="14.25">
      <c r="B13" s="47"/>
      <c r="C13" s="629"/>
      <c r="D13" s="629"/>
      <c r="E13" s="645" t="str">
        <f>+Textes!A26</f>
        <v>Stallplätze</v>
      </c>
      <c r="F13" s="662"/>
      <c r="G13" s="663" t="str">
        <f>+Textes!A31</f>
        <v>LG/Tier</v>
      </c>
      <c r="H13" s="664" t="str">
        <f>+Textes!A32</f>
        <v>LG</v>
      </c>
      <c r="I13" s="662"/>
      <c r="J13" s="665" t="str">
        <f>+G13</f>
        <v>LG/Tier</v>
      </c>
      <c r="K13" s="666" t="str">
        <f>+H13</f>
        <v>LG</v>
      </c>
      <c r="L13" s="45"/>
      <c r="M13" s="45"/>
      <c r="N13" s="6" t="s">
        <v>443</v>
      </c>
      <c r="O13" s="6" t="s">
        <v>444</v>
      </c>
      <c r="P13" s="6" t="s">
        <v>443</v>
      </c>
      <c r="Q13" s="6" t="s">
        <v>444</v>
      </c>
      <c r="R13" s="6" t="s">
        <v>443</v>
      </c>
      <c r="S13" s="6" t="s">
        <v>444</v>
      </c>
      <c r="T13" s="6" t="s">
        <v>443</v>
      </c>
      <c r="U13" s="6" t="s">
        <v>444</v>
      </c>
    </row>
    <row r="14" spans="2:21" s="6" customFormat="1" ht="15" hidden="1" customHeight="1">
      <c r="B14" s="89"/>
      <c r="C14" s="646"/>
      <c r="D14" s="647"/>
      <c r="E14" s="675"/>
      <c r="F14" s="688"/>
      <c r="G14" s="689"/>
      <c r="H14" s="263" t="str">
        <f xml:space="preserve"> IF(F14&lt;&gt;"",F14*G14,"")</f>
        <v/>
      </c>
      <c r="I14" s="688"/>
      <c r="J14" s="689"/>
      <c r="K14" s="263" t="str">
        <f xml:space="preserve"> IF(I14&lt;&gt;"",I14*J14,"")</f>
        <v/>
      </c>
      <c r="L14" s="45"/>
      <c r="M14" s="45"/>
      <c r="N14" s="6">
        <f>IF(G14&lt;60,F14,0)</f>
        <v>0</v>
      </c>
      <c r="O14" s="6" t="str">
        <f t="shared" ref="O14:O22" si="0">IF(G14&lt;60,H14,0)</f>
        <v/>
      </c>
      <c r="P14" s="6">
        <f t="shared" ref="P14:P22" si="1">IF(N14=0,F14,0)</f>
        <v>0</v>
      </c>
      <c r="Q14" s="6">
        <f t="shared" ref="Q14:Q22" si="2">IF(O14=0,H14,0)</f>
        <v>0</v>
      </c>
      <c r="R14" s="6">
        <f t="shared" ref="R14:R22" si="3">IF(J14&lt;60,I14,0)</f>
        <v>0</v>
      </c>
      <c r="S14" s="6" t="str">
        <f t="shared" ref="S14:S22" si="4">IF(J14&lt;60,K14,0)</f>
        <v/>
      </c>
      <c r="T14" s="6">
        <f t="shared" ref="T14:T22" si="5">IF(R14=0,I14,0)</f>
        <v>0</v>
      </c>
      <c r="U14" s="6">
        <f t="shared" ref="U14:U22" si="6">IF(S14=0,K14,0)</f>
        <v>0</v>
      </c>
    </row>
    <row r="15" spans="2:21" s="6" customFormat="1" ht="15" customHeight="1">
      <c r="B15" s="648">
        <f>IF(Textes!Q4&gt;0,Textes!Q4,"")</f>
        <v>1757</v>
      </c>
      <c r="C15" s="649" t="str">
        <f>IF(Textes!R4&gt;0,Textes!R4,"")</f>
        <v>Mastpoulets Stall 1</v>
      </c>
      <c r="D15" s="650"/>
      <c r="E15" s="675"/>
      <c r="F15" s="688"/>
      <c r="G15" s="689"/>
      <c r="H15" s="263" t="str">
        <f xml:space="preserve"> IF(F15&lt;&gt;"",F15*G15,"")</f>
        <v/>
      </c>
      <c r="I15" s="688"/>
      <c r="J15" s="689"/>
      <c r="K15" s="263" t="str">
        <f t="shared" ref="K15:K22" si="7" xml:space="preserve"> IF(I15&lt;&gt;"",I15*J15,"")</f>
        <v/>
      </c>
      <c r="L15" s="45"/>
      <c r="M15" s="45"/>
      <c r="N15" s="6">
        <f t="shared" ref="N15:N22" si="8">IF(G15&lt;60,F15,0)</f>
        <v>0</v>
      </c>
      <c r="O15" s="6" t="str">
        <f t="shared" si="0"/>
        <v/>
      </c>
      <c r="P15" s="6">
        <f t="shared" si="1"/>
        <v>0</v>
      </c>
      <c r="Q15" s="6">
        <f t="shared" si="2"/>
        <v>0</v>
      </c>
      <c r="R15" s="6">
        <f t="shared" si="3"/>
        <v>0</v>
      </c>
      <c r="S15" s="6" t="str">
        <f t="shared" si="4"/>
        <v/>
      </c>
      <c r="T15" s="6">
        <f t="shared" si="5"/>
        <v>0</v>
      </c>
      <c r="U15" s="6">
        <f t="shared" si="6"/>
        <v>0</v>
      </c>
    </row>
    <row r="16" spans="2:21" s="6" customFormat="1" ht="15" customHeight="1">
      <c r="B16" s="651">
        <f ca="1">IF(Textes!Q5&gt;0,Textes!Q5,"")</f>
        <v>1757</v>
      </c>
      <c r="C16" s="652" t="str">
        <f ca="1">IF(Textes!R5&gt;0,Textes!R5,"")</f>
        <v>Mastpoulets Stall 2</v>
      </c>
      <c r="D16" s="653"/>
      <c r="E16" s="675"/>
      <c r="F16" s="688"/>
      <c r="G16" s="689"/>
      <c r="H16" s="263" t="str">
        <f xml:space="preserve"> IF(F16&lt;&gt;"",F16*G16,"")</f>
        <v/>
      </c>
      <c r="I16" s="688"/>
      <c r="J16" s="689"/>
      <c r="K16" s="263" t="str">
        <f t="shared" si="7"/>
        <v/>
      </c>
      <c r="L16" s="45"/>
      <c r="M16" s="45"/>
      <c r="N16" s="6">
        <f t="shared" si="8"/>
        <v>0</v>
      </c>
      <c r="O16" s="6" t="str">
        <f t="shared" si="0"/>
        <v/>
      </c>
      <c r="P16" s="6">
        <f t="shared" si="1"/>
        <v>0</v>
      </c>
      <c r="Q16" s="6">
        <f t="shared" si="2"/>
        <v>0</v>
      </c>
      <c r="R16" s="6">
        <f t="shared" si="3"/>
        <v>0</v>
      </c>
      <c r="S16" s="6" t="str">
        <f t="shared" si="4"/>
        <v/>
      </c>
      <c r="T16" s="6">
        <f t="shared" si="5"/>
        <v>0</v>
      </c>
      <c r="U16" s="6">
        <f t="shared" si="6"/>
        <v>0</v>
      </c>
    </row>
    <row r="17" spans="2:21" s="6" customFormat="1" ht="15" customHeight="1">
      <c r="B17" s="651">
        <f ca="1">IF(Textes!Q6&gt;0,Textes!Q6,"")</f>
        <v>1757</v>
      </c>
      <c r="C17" s="652" t="str">
        <f ca="1">IF(Textes!R6&gt;0,Textes!R6,"")</f>
        <v>Mastpoulets Stall 3</v>
      </c>
      <c r="D17" s="653"/>
      <c r="E17" s="675"/>
      <c r="F17" s="688"/>
      <c r="G17" s="689"/>
      <c r="H17" s="263" t="str">
        <f t="shared" ref="H17:H22" si="9">IF(F17&lt;&gt;"",F17*G17,"")</f>
        <v/>
      </c>
      <c r="I17" s="688"/>
      <c r="J17" s="689"/>
      <c r="K17" s="263" t="str">
        <f t="shared" si="7"/>
        <v/>
      </c>
      <c r="L17" s="45"/>
      <c r="M17" s="45"/>
      <c r="N17" s="6">
        <f t="shared" si="8"/>
        <v>0</v>
      </c>
      <c r="O17" s="6" t="str">
        <f t="shared" si="0"/>
        <v/>
      </c>
      <c r="P17" s="6">
        <f t="shared" si="1"/>
        <v>0</v>
      </c>
      <c r="Q17" s="6">
        <f t="shared" si="2"/>
        <v>0</v>
      </c>
      <c r="R17" s="6">
        <f t="shared" si="3"/>
        <v>0</v>
      </c>
      <c r="S17" s="6" t="str">
        <f t="shared" si="4"/>
        <v/>
      </c>
      <c r="T17" s="6">
        <f t="shared" si="5"/>
        <v>0</v>
      </c>
      <c r="U17" s="6">
        <f t="shared" si="6"/>
        <v>0</v>
      </c>
    </row>
    <row r="18" spans="2:21" s="6" customFormat="1" ht="15" customHeight="1">
      <c r="B18" s="651" t="str">
        <f ca="1">IF(Textes!Q7&gt;0,Textes!Q7,"")</f>
        <v/>
      </c>
      <c r="C18" s="652" t="str">
        <f ca="1">IF(Textes!R7&gt;0,Textes!R7,"")</f>
        <v/>
      </c>
      <c r="D18" s="653"/>
      <c r="E18" s="675"/>
      <c r="F18" s="688"/>
      <c r="G18" s="689"/>
      <c r="H18" s="263" t="str">
        <f t="shared" si="9"/>
        <v/>
      </c>
      <c r="I18" s="688"/>
      <c r="J18" s="689"/>
      <c r="K18" s="263" t="str">
        <f t="shared" si="7"/>
        <v/>
      </c>
      <c r="L18" s="45"/>
      <c r="M18" s="45"/>
      <c r="N18" s="6">
        <f t="shared" si="8"/>
        <v>0</v>
      </c>
      <c r="O18" s="6" t="str">
        <f t="shared" si="0"/>
        <v/>
      </c>
      <c r="P18" s="6">
        <f t="shared" si="1"/>
        <v>0</v>
      </c>
      <c r="Q18" s="6">
        <f t="shared" si="2"/>
        <v>0</v>
      </c>
      <c r="R18" s="6">
        <f t="shared" si="3"/>
        <v>0</v>
      </c>
      <c r="S18" s="6" t="str">
        <f t="shared" si="4"/>
        <v/>
      </c>
      <c r="T18" s="6">
        <f t="shared" si="5"/>
        <v>0</v>
      </c>
      <c r="U18" s="6">
        <f t="shared" si="6"/>
        <v>0</v>
      </c>
    </row>
    <row r="19" spans="2:21" s="6" customFormat="1" ht="15" customHeight="1">
      <c r="B19" s="651" t="str">
        <f ca="1">IF(Textes!Q8&gt;0,Textes!Q8,"")</f>
        <v/>
      </c>
      <c r="C19" s="652" t="str">
        <f ca="1">IF(Textes!R8&gt;0,Textes!R8,"")</f>
        <v/>
      </c>
      <c r="D19" s="653"/>
      <c r="E19" s="675"/>
      <c r="F19" s="688"/>
      <c r="G19" s="689"/>
      <c r="H19" s="263" t="str">
        <f t="shared" si="9"/>
        <v/>
      </c>
      <c r="I19" s="688"/>
      <c r="J19" s="689"/>
      <c r="K19" s="263" t="str">
        <f t="shared" si="7"/>
        <v/>
      </c>
      <c r="L19" s="45"/>
      <c r="M19" s="45"/>
      <c r="N19" s="6">
        <f t="shared" si="8"/>
        <v>0</v>
      </c>
      <c r="O19" s="6" t="str">
        <f t="shared" si="0"/>
        <v/>
      </c>
      <c r="P19" s="6">
        <f t="shared" si="1"/>
        <v>0</v>
      </c>
      <c r="Q19" s="6">
        <f t="shared" si="2"/>
        <v>0</v>
      </c>
      <c r="R19" s="6">
        <f t="shared" si="3"/>
        <v>0</v>
      </c>
      <c r="S19" s="6" t="str">
        <f t="shared" si="4"/>
        <v/>
      </c>
      <c r="T19" s="6">
        <f t="shared" si="5"/>
        <v>0</v>
      </c>
      <c r="U19" s="6">
        <f t="shared" si="6"/>
        <v>0</v>
      </c>
    </row>
    <row r="20" spans="2:21" s="6" customFormat="1" ht="15" customHeight="1">
      <c r="B20" s="651" t="str">
        <f ca="1">IF(Textes!Q9&gt;0,Textes!Q9,"")</f>
        <v/>
      </c>
      <c r="C20" s="652" t="str">
        <f ca="1">IF(Textes!R9&gt;0,Textes!R9,"")</f>
        <v/>
      </c>
      <c r="D20" s="653"/>
      <c r="E20" s="675"/>
      <c r="F20" s="688"/>
      <c r="G20" s="689"/>
      <c r="H20" s="263" t="str">
        <f t="shared" si="9"/>
        <v/>
      </c>
      <c r="I20" s="688"/>
      <c r="J20" s="689"/>
      <c r="K20" s="263" t="str">
        <f t="shared" si="7"/>
        <v/>
      </c>
      <c r="L20" s="45"/>
      <c r="M20" s="45"/>
      <c r="N20" s="6">
        <f t="shared" si="8"/>
        <v>0</v>
      </c>
      <c r="O20" s="6" t="str">
        <f t="shared" si="0"/>
        <v/>
      </c>
      <c r="P20" s="6">
        <f t="shared" si="1"/>
        <v>0</v>
      </c>
      <c r="Q20" s="6">
        <f t="shared" si="2"/>
        <v>0</v>
      </c>
      <c r="R20" s="6">
        <f t="shared" si="3"/>
        <v>0</v>
      </c>
      <c r="S20" s="6" t="str">
        <f t="shared" si="4"/>
        <v/>
      </c>
      <c r="T20" s="6">
        <f t="shared" si="5"/>
        <v>0</v>
      </c>
      <c r="U20" s="6">
        <f t="shared" si="6"/>
        <v>0</v>
      </c>
    </row>
    <row r="21" spans="2:21" s="6" customFormat="1" ht="15" customHeight="1">
      <c r="B21" s="651" t="str">
        <f ca="1">IF(Textes!Q10&gt;0,Textes!Q10,"")</f>
        <v/>
      </c>
      <c r="C21" s="652" t="str">
        <f ca="1">IF(Textes!R10&gt;0,Textes!R10,"")</f>
        <v/>
      </c>
      <c r="D21" s="653"/>
      <c r="E21" s="675"/>
      <c r="F21" s="688"/>
      <c r="G21" s="689"/>
      <c r="H21" s="263" t="str">
        <f t="shared" si="9"/>
        <v/>
      </c>
      <c r="I21" s="688"/>
      <c r="J21" s="689"/>
      <c r="K21" s="263" t="str">
        <f t="shared" si="7"/>
        <v/>
      </c>
      <c r="L21" s="45"/>
      <c r="M21" s="45"/>
      <c r="N21" s="6">
        <f t="shared" si="8"/>
        <v>0</v>
      </c>
      <c r="O21" s="6" t="str">
        <f t="shared" si="0"/>
        <v/>
      </c>
      <c r="P21" s="6">
        <f t="shared" si="1"/>
        <v>0</v>
      </c>
      <c r="Q21" s="6">
        <f t="shared" si="2"/>
        <v>0</v>
      </c>
      <c r="R21" s="6">
        <f t="shared" si="3"/>
        <v>0</v>
      </c>
      <c r="S21" s="6" t="str">
        <f t="shared" si="4"/>
        <v/>
      </c>
      <c r="T21" s="6">
        <f t="shared" si="5"/>
        <v>0</v>
      </c>
      <c r="U21" s="6">
        <f t="shared" si="6"/>
        <v>0</v>
      </c>
    </row>
    <row r="22" spans="2:21" s="6" customFormat="1" ht="15" customHeight="1">
      <c r="B22" s="654" t="str">
        <f ca="1">IF(Textes!Q11&gt;0,Textes!Q11,"")</f>
        <v/>
      </c>
      <c r="C22" s="655" t="str">
        <f ca="1">IF(Textes!R11&gt;0,Textes!R11,"")</f>
        <v/>
      </c>
      <c r="D22" s="656"/>
      <c r="E22" s="675"/>
      <c r="F22" s="688"/>
      <c r="G22" s="689"/>
      <c r="H22" s="263" t="str">
        <f t="shared" si="9"/>
        <v/>
      </c>
      <c r="I22" s="688"/>
      <c r="J22" s="689"/>
      <c r="K22" s="263" t="str">
        <f t="shared" si="7"/>
        <v/>
      </c>
      <c r="L22" s="45"/>
      <c r="M22" s="45"/>
      <c r="N22" s="6">
        <f t="shared" si="8"/>
        <v>0</v>
      </c>
      <c r="O22" s="6" t="str">
        <f t="shared" si="0"/>
        <v/>
      </c>
      <c r="P22" s="6">
        <f t="shared" si="1"/>
        <v>0</v>
      </c>
      <c r="Q22" s="6">
        <f t="shared" si="2"/>
        <v>0</v>
      </c>
      <c r="R22" s="6">
        <f t="shared" si="3"/>
        <v>0</v>
      </c>
      <c r="S22" s="6" t="str">
        <f t="shared" si="4"/>
        <v/>
      </c>
      <c r="T22" s="6">
        <f t="shared" si="5"/>
        <v>0</v>
      </c>
      <c r="U22" s="6">
        <f t="shared" si="6"/>
        <v>0</v>
      </c>
    </row>
    <row r="23" spans="2:21" s="6" customFormat="1" ht="14.25">
      <c r="B23" s="29" t="str">
        <f>+Textes!A51</f>
        <v>Total Tierinventar</v>
      </c>
      <c r="C23" s="30"/>
      <c r="D23" s="30"/>
      <c r="E23" s="670" t="str">
        <f>IF(SUM(E14:E22)=0,"",SUM(E14:E22))</f>
        <v/>
      </c>
      <c r="F23" s="671">
        <f>IF(SUM(F14:F22)=0,0,SUM(F14:F22))</f>
        <v>0</v>
      </c>
      <c r="G23" s="672" t="str">
        <f>IF(ISERROR(H23/F23)=TRUE,"",H23/F23)</f>
        <v/>
      </c>
      <c r="H23" s="673" t="str">
        <f>IF(SUM(H14:H22)=0,"",SUM(H14:H22))</f>
        <v/>
      </c>
      <c r="I23" s="674">
        <f>IF(SUM(I14:I22)=0,0,SUM(I14:I22))</f>
        <v>0</v>
      </c>
      <c r="J23" s="672" t="str">
        <f>IF(ISERROR(K23/I23)=TRUE,"",K23/I23)</f>
        <v/>
      </c>
      <c r="K23" s="673" t="str">
        <f>IF(SUM(K14:K22)=0,"",SUM(K14:K22))</f>
        <v/>
      </c>
      <c r="L23" s="52"/>
      <c r="M23" s="52"/>
      <c r="N23" s="6">
        <f t="shared" ref="N23:U23" si="10">SUM(N14:N22)</f>
        <v>0</v>
      </c>
      <c r="O23" s="6">
        <f>SUM(O14:O22)</f>
        <v>0</v>
      </c>
      <c r="P23" s="6">
        <f t="shared" si="10"/>
        <v>0</v>
      </c>
      <c r="Q23" s="6">
        <f t="shared" si="10"/>
        <v>0</v>
      </c>
      <c r="R23" s="6">
        <f t="shared" si="10"/>
        <v>0</v>
      </c>
      <c r="S23" s="6">
        <f t="shared" si="10"/>
        <v>0</v>
      </c>
      <c r="T23" s="6">
        <f t="shared" si="10"/>
        <v>0</v>
      </c>
      <c r="U23" s="6">
        <f t="shared" si="10"/>
        <v>0</v>
      </c>
    </row>
    <row r="24" spans="2:21" s="6" customFormat="1" ht="8.4499999999999993" customHeight="1">
      <c r="E24" s="58"/>
      <c r="F24" s="52"/>
      <c r="G24" s="53"/>
      <c r="H24" s="53"/>
      <c r="I24" s="53"/>
      <c r="J24" s="53"/>
      <c r="K24" s="54"/>
      <c r="L24" s="52"/>
      <c r="M24" s="52"/>
    </row>
    <row r="25" spans="2:21" s="58" customFormat="1" ht="15">
      <c r="B25" s="55" t="str">
        <f>+Textes!A52</f>
        <v>Futtermittelinventar</v>
      </c>
      <c r="C25" s="630"/>
      <c r="D25" s="630"/>
      <c r="E25" s="630"/>
      <c r="F25" s="192" t="str">
        <f>+Textes!A54</f>
        <v>Gehalte in kg Futter</v>
      </c>
      <c r="G25" s="180"/>
      <c r="H25" s="180"/>
      <c r="I25" s="181"/>
      <c r="J25" s="56" t="str">
        <f>+Textes!A58</f>
        <v>Anfang</v>
      </c>
      <c r="K25" s="57" t="str">
        <f>+Textes!A59</f>
        <v>Ende</v>
      </c>
      <c r="L25" s="45"/>
      <c r="M25" s="45"/>
    </row>
    <row r="26" spans="2:21" s="58" customFormat="1" ht="15">
      <c r="B26" s="59" t="str">
        <f>+Textes!A53</f>
        <v>Mischfuttermittel</v>
      </c>
      <c r="C26" s="631"/>
      <c r="D26" s="631"/>
      <c r="E26" s="631"/>
      <c r="F26" s="48" t="str">
        <f>+Textes!A55</f>
        <v>TS in %</v>
      </c>
      <c r="G26" s="50" t="str">
        <f>+Textes!A6</f>
        <v>MJ UEG</v>
      </c>
      <c r="H26" s="50" t="str">
        <f>+Textes!A56</f>
        <v>g RP</v>
      </c>
      <c r="I26" s="60" t="str">
        <f>+Textes!A57</f>
        <v>g P</v>
      </c>
      <c r="J26" s="179" t="str">
        <f>+Textes!A60</f>
        <v>Menge in kg Futter</v>
      </c>
      <c r="K26" s="193"/>
      <c r="L26" s="45"/>
      <c r="M26" s="45"/>
    </row>
    <row r="27" spans="2:21" s="58" customFormat="1" ht="15" hidden="1" customHeight="1">
      <c r="B27" s="184"/>
      <c r="C27" s="639"/>
      <c r="D27" s="639"/>
      <c r="E27" s="639"/>
      <c r="F27" s="382"/>
      <c r="G27" s="387"/>
      <c r="H27" s="385"/>
      <c r="I27" s="380"/>
      <c r="J27" s="265"/>
      <c r="K27" s="266"/>
      <c r="L27" s="45"/>
      <c r="M27" s="45"/>
    </row>
    <row r="28" spans="2:21" s="58" customFormat="1" ht="15" customHeight="1">
      <c r="B28" s="184"/>
      <c r="C28" s="676"/>
      <c r="D28" s="676"/>
      <c r="E28" s="676"/>
      <c r="F28" s="383"/>
      <c r="G28" s="388"/>
      <c r="H28" s="386"/>
      <c r="I28" s="381"/>
      <c r="J28" s="265"/>
      <c r="K28" s="266"/>
      <c r="L28" s="45"/>
      <c r="M28" s="45"/>
    </row>
    <row r="29" spans="2:21" s="58" customFormat="1" ht="15" customHeight="1">
      <c r="B29" s="184"/>
      <c r="C29" s="676"/>
      <c r="D29" s="676"/>
      <c r="E29" s="676"/>
      <c r="F29" s="383"/>
      <c r="G29" s="388"/>
      <c r="H29" s="386"/>
      <c r="I29" s="381"/>
      <c r="J29" s="265"/>
      <c r="K29" s="266"/>
      <c r="L29" s="45"/>
      <c r="M29" s="45"/>
    </row>
    <row r="30" spans="2:21" s="58" customFormat="1" ht="15" customHeight="1">
      <c r="B30" s="184"/>
      <c r="C30" s="676"/>
      <c r="D30" s="676"/>
      <c r="E30" s="676"/>
      <c r="F30" s="383"/>
      <c r="G30" s="388"/>
      <c r="H30" s="386"/>
      <c r="I30" s="381"/>
      <c r="J30" s="265"/>
      <c r="K30" s="266"/>
      <c r="L30" s="45"/>
      <c r="M30" s="45"/>
    </row>
    <row r="31" spans="2:21" s="58" customFormat="1" ht="15" customHeight="1">
      <c r="B31" s="184"/>
      <c r="C31" s="676"/>
      <c r="D31" s="676"/>
      <c r="E31" s="676"/>
      <c r="F31" s="383"/>
      <c r="G31" s="388"/>
      <c r="H31" s="386"/>
      <c r="I31" s="381"/>
      <c r="J31" s="265"/>
      <c r="K31" s="266"/>
      <c r="L31" s="45"/>
      <c r="M31" s="45"/>
    </row>
    <row r="32" spans="2:21" s="58" customFormat="1" ht="15" customHeight="1">
      <c r="B32" s="184"/>
      <c r="C32" s="676"/>
      <c r="D32" s="676"/>
      <c r="E32" s="676"/>
      <c r="F32" s="383"/>
      <c r="G32" s="388"/>
      <c r="H32" s="386"/>
      <c r="I32" s="381"/>
      <c r="J32" s="265"/>
      <c r="K32" s="266"/>
      <c r="L32" s="45"/>
      <c r="M32" s="45"/>
    </row>
    <row r="33" spans="2:13" s="58" customFormat="1" ht="15" customHeight="1">
      <c r="B33" s="184"/>
      <c r="C33" s="676"/>
      <c r="D33" s="676"/>
      <c r="E33" s="676"/>
      <c r="F33" s="383"/>
      <c r="G33" s="388"/>
      <c r="H33" s="386"/>
      <c r="I33" s="381"/>
      <c r="J33" s="265"/>
      <c r="K33" s="266"/>
      <c r="L33" s="45"/>
      <c r="M33" s="45"/>
    </row>
    <row r="34" spans="2:13" s="58" customFormat="1" ht="15" customHeight="1">
      <c r="B34" s="184"/>
      <c r="C34" s="676"/>
      <c r="D34" s="676"/>
      <c r="E34" s="676"/>
      <c r="F34" s="383"/>
      <c r="G34" s="388"/>
      <c r="H34" s="386"/>
      <c r="I34" s="381"/>
      <c r="J34" s="265"/>
      <c r="K34" s="266"/>
      <c r="L34" s="45"/>
      <c r="M34" s="45"/>
    </row>
    <row r="35" spans="2:13" s="58" customFormat="1" ht="15" customHeight="1">
      <c r="B35" s="184"/>
      <c r="C35" s="676"/>
      <c r="D35" s="676"/>
      <c r="E35" s="676"/>
      <c r="F35" s="383"/>
      <c r="G35" s="388"/>
      <c r="H35" s="386"/>
      <c r="I35" s="381"/>
      <c r="J35" s="265"/>
      <c r="K35" s="266"/>
      <c r="L35" s="45"/>
      <c r="M35" s="45"/>
    </row>
    <row r="36" spans="2:13" s="58" customFormat="1" ht="15" customHeight="1">
      <c r="B36" s="184"/>
      <c r="C36" s="676"/>
      <c r="D36" s="676"/>
      <c r="E36" s="676"/>
      <c r="F36" s="383"/>
      <c r="G36" s="388"/>
      <c r="H36" s="386"/>
      <c r="I36" s="381"/>
      <c r="J36" s="265"/>
      <c r="K36" s="266"/>
      <c r="L36" s="45"/>
      <c r="M36" s="45"/>
    </row>
    <row r="37" spans="2:13" s="58" customFormat="1" ht="15" customHeight="1">
      <c r="B37" s="184"/>
      <c r="C37" s="676"/>
      <c r="D37" s="676"/>
      <c r="E37" s="676"/>
      <c r="F37" s="383"/>
      <c r="G37" s="388"/>
      <c r="H37" s="386"/>
      <c r="I37" s="381"/>
      <c r="J37" s="265"/>
      <c r="K37" s="266"/>
      <c r="L37" s="45"/>
      <c r="M37" s="45"/>
    </row>
    <row r="38" spans="2:13" s="58" customFormat="1" ht="15" customHeight="1">
      <c r="B38" s="184"/>
      <c r="C38" s="676"/>
      <c r="D38" s="676"/>
      <c r="E38" s="676"/>
      <c r="F38" s="383"/>
      <c r="G38" s="388"/>
      <c r="H38" s="386"/>
      <c r="I38" s="381"/>
      <c r="J38" s="265"/>
      <c r="K38" s="266"/>
      <c r="L38" s="45"/>
      <c r="M38" s="45"/>
    </row>
    <row r="39" spans="2:13" s="58" customFormat="1" ht="15" customHeight="1">
      <c r="B39" s="184"/>
      <c r="C39" s="676"/>
      <c r="D39" s="676"/>
      <c r="E39" s="676"/>
      <c r="F39" s="383"/>
      <c r="G39" s="388"/>
      <c r="H39" s="386"/>
      <c r="I39" s="381"/>
      <c r="J39" s="265"/>
      <c r="K39" s="266"/>
      <c r="L39" s="45"/>
      <c r="M39" s="45"/>
    </row>
    <row r="40" spans="2:13" s="58" customFormat="1" ht="15" customHeight="1">
      <c r="B40" s="184"/>
      <c r="C40" s="676"/>
      <c r="D40" s="676"/>
      <c r="E40" s="676"/>
      <c r="F40" s="383"/>
      <c r="G40" s="388"/>
      <c r="H40" s="386"/>
      <c r="I40" s="381"/>
      <c r="J40" s="265"/>
      <c r="K40" s="266"/>
      <c r="L40" s="45"/>
      <c r="M40" s="45"/>
    </row>
    <row r="41" spans="2:13" s="58" customFormat="1" ht="15" customHeight="1">
      <c r="B41" s="184"/>
      <c r="C41" s="676"/>
      <c r="D41" s="676"/>
      <c r="E41" s="676"/>
      <c r="F41" s="383"/>
      <c r="G41" s="388"/>
      <c r="H41" s="386"/>
      <c r="I41" s="381"/>
      <c r="J41" s="265"/>
      <c r="K41" s="266"/>
      <c r="L41" s="45"/>
      <c r="M41" s="45"/>
    </row>
    <row r="42" spans="2:13" s="58" customFormat="1" ht="15" customHeight="1">
      <c r="B42" s="184"/>
      <c r="C42" s="676"/>
      <c r="D42" s="676"/>
      <c r="E42" s="676"/>
      <c r="F42" s="383"/>
      <c r="G42" s="388"/>
      <c r="H42" s="386"/>
      <c r="I42" s="381"/>
      <c r="J42" s="265"/>
      <c r="K42" s="266"/>
      <c r="L42" s="45"/>
      <c r="M42" s="45"/>
    </row>
    <row r="43" spans="2:13" s="58" customFormat="1" ht="15" customHeight="1">
      <c r="B43" s="184"/>
      <c r="C43" s="676"/>
      <c r="D43" s="676"/>
      <c r="E43" s="676"/>
      <c r="F43" s="383"/>
      <c r="G43" s="388"/>
      <c r="H43" s="386"/>
      <c r="I43" s="381"/>
      <c r="J43" s="265"/>
      <c r="K43" s="266"/>
      <c r="L43" s="45"/>
      <c r="M43" s="45"/>
    </row>
    <row r="44" spans="2:13" s="58" customFormat="1" ht="15" hidden="1" customHeight="1">
      <c r="B44" s="184"/>
      <c r="C44" s="676"/>
      <c r="D44" s="676"/>
      <c r="E44" s="676"/>
      <c r="F44" s="383"/>
      <c r="G44" s="388"/>
      <c r="H44" s="386"/>
      <c r="I44" s="381"/>
      <c r="J44" s="265"/>
      <c r="K44" s="266"/>
      <c r="L44" s="45"/>
      <c r="M44" s="45"/>
    </row>
    <row r="45" spans="2:13" s="58" customFormat="1" ht="15" hidden="1" customHeight="1">
      <c r="B45" s="184"/>
      <c r="C45" s="639"/>
      <c r="D45" s="639"/>
      <c r="E45" s="639"/>
      <c r="F45" s="617"/>
      <c r="G45" s="618"/>
      <c r="H45" s="622"/>
      <c r="I45" s="623"/>
      <c r="J45" s="265"/>
      <c r="K45" s="266"/>
      <c r="L45" s="45"/>
      <c r="M45" s="45"/>
    </row>
    <row r="46" spans="2:13" s="58" customFormat="1" ht="15" hidden="1" customHeight="1">
      <c r="B46" s="184"/>
      <c r="C46" s="639"/>
      <c r="D46" s="639"/>
      <c r="E46" s="639"/>
      <c r="F46" s="617"/>
      <c r="G46" s="618"/>
      <c r="H46" s="622"/>
      <c r="I46" s="623"/>
      <c r="J46" s="265"/>
      <c r="K46" s="266"/>
      <c r="L46" s="45"/>
      <c r="M46" s="45"/>
    </row>
    <row r="47" spans="2:13" s="58" customFormat="1" ht="15" hidden="1" customHeight="1">
      <c r="B47" s="184"/>
      <c r="C47" s="639"/>
      <c r="D47" s="639"/>
      <c r="E47" s="639"/>
      <c r="F47" s="617"/>
      <c r="G47" s="618"/>
      <c r="H47" s="622"/>
      <c r="I47" s="623"/>
      <c r="J47" s="265"/>
      <c r="K47" s="266"/>
      <c r="L47" s="45"/>
      <c r="M47" s="45"/>
    </row>
    <row r="48" spans="2:13" s="58" customFormat="1" ht="15" hidden="1" customHeight="1">
      <c r="B48" s="184"/>
      <c r="C48" s="639"/>
      <c r="D48" s="639"/>
      <c r="E48" s="639"/>
      <c r="F48" s="617"/>
      <c r="G48" s="618"/>
      <c r="H48" s="622"/>
      <c r="I48" s="623"/>
      <c r="J48" s="265"/>
      <c r="K48" s="266"/>
      <c r="L48" s="45"/>
      <c r="M48" s="45"/>
    </row>
    <row r="49" spans="2:13" s="58" customFormat="1" ht="15" hidden="1" customHeight="1">
      <c r="B49" s="184"/>
      <c r="C49" s="639"/>
      <c r="D49" s="639"/>
      <c r="E49" s="639"/>
      <c r="F49" s="617"/>
      <c r="G49" s="618"/>
      <c r="H49" s="622"/>
      <c r="I49" s="623"/>
      <c r="J49" s="265"/>
      <c r="K49" s="266"/>
      <c r="L49" s="45"/>
      <c r="M49" s="45"/>
    </row>
    <row r="50" spans="2:13" s="58" customFormat="1" ht="15" hidden="1" customHeight="1">
      <c r="B50" s="184"/>
      <c r="C50" s="639"/>
      <c r="D50" s="639"/>
      <c r="E50" s="639"/>
      <c r="F50" s="617"/>
      <c r="G50" s="618"/>
      <c r="H50" s="622"/>
      <c r="I50" s="623"/>
      <c r="J50" s="265"/>
      <c r="K50" s="266"/>
      <c r="L50" s="45"/>
      <c r="M50" s="45"/>
    </row>
    <row r="51" spans="2:13" s="58" customFormat="1" ht="15" hidden="1" customHeight="1">
      <c r="B51" s="184"/>
      <c r="C51" s="639"/>
      <c r="D51" s="639"/>
      <c r="E51" s="639"/>
      <c r="F51" s="617"/>
      <c r="G51" s="618"/>
      <c r="H51" s="622"/>
      <c r="I51" s="623"/>
      <c r="J51" s="265"/>
      <c r="K51" s="266"/>
      <c r="L51" s="45"/>
      <c r="M51" s="45"/>
    </row>
    <row r="52" spans="2:13" s="58" customFormat="1" ht="15" hidden="1" customHeight="1">
      <c r="B52" s="184"/>
      <c r="C52" s="639"/>
      <c r="D52" s="639"/>
      <c r="E52" s="639"/>
      <c r="F52" s="617"/>
      <c r="G52" s="618"/>
      <c r="H52" s="622"/>
      <c r="I52" s="623"/>
      <c r="J52" s="265"/>
      <c r="K52" s="266"/>
      <c r="L52" s="45"/>
      <c r="M52" s="45"/>
    </row>
    <row r="53" spans="2:13" s="58" customFormat="1" ht="15" hidden="1" customHeight="1">
      <c r="B53" s="184"/>
      <c r="C53" s="639"/>
      <c r="D53" s="639"/>
      <c r="E53" s="639"/>
      <c r="F53" s="617"/>
      <c r="G53" s="618"/>
      <c r="H53" s="622"/>
      <c r="I53" s="623"/>
      <c r="J53" s="265"/>
      <c r="K53" s="266"/>
      <c r="L53" s="45"/>
      <c r="M53" s="45"/>
    </row>
    <row r="54" spans="2:13" s="58" customFormat="1" ht="15" hidden="1" customHeight="1">
      <c r="B54" s="184"/>
      <c r="C54" s="639"/>
      <c r="D54" s="639"/>
      <c r="E54" s="639"/>
      <c r="F54" s="617"/>
      <c r="G54" s="618"/>
      <c r="H54" s="622"/>
      <c r="I54" s="623"/>
      <c r="J54" s="265"/>
      <c r="K54" s="266"/>
      <c r="L54" s="45"/>
      <c r="M54" s="45"/>
    </row>
    <row r="55" spans="2:13" s="58" customFormat="1" ht="15" hidden="1" customHeight="1">
      <c r="B55" s="184"/>
      <c r="C55" s="639"/>
      <c r="D55" s="639"/>
      <c r="E55" s="639"/>
      <c r="F55" s="617"/>
      <c r="G55" s="618"/>
      <c r="H55" s="622"/>
      <c r="I55" s="623"/>
      <c r="J55" s="265"/>
      <c r="K55" s="266"/>
      <c r="L55" s="45"/>
      <c r="M55" s="45"/>
    </row>
    <row r="56" spans="2:13" s="58" customFormat="1" ht="15" hidden="1" customHeight="1">
      <c r="B56" s="184"/>
      <c r="C56" s="639"/>
      <c r="D56" s="639"/>
      <c r="E56" s="639"/>
      <c r="F56" s="617"/>
      <c r="G56" s="618"/>
      <c r="H56" s="622"/>
      <c r="I56" s="623"/>
      <c r="J56" s="265"/>
      <c r="K56" s="266"/>
      <c r="L56" s="45"/>
      <c r="M56" s="45"/>
    </row>
    <row r="57" spans="2:13" s="58" customFormat="1" ht="15" hidden="1" customHeight="1">
      <c r="B57" s="184"/>
      <c r="C57" s="639"/>
      <c r="D57" s="639"/>
      <c r="E57" s="639"/>
      <c r="F57" s="617"/>
      <c r="G57" s="618"/>
      <c r="H57" s="622"/>
      <c r="I57" s="623"/>
      <c r="J57" s="265"/>
      <c r="K57" s="266"/>
      <c r="L57" s="45"/>
      <c r="M57" s="45"/>
    </row>
    <row r="58" spans="2:13" s="58" customFormat="1" ht="15" hidden="1" customHeight="1">
      <c r="B58" s="184"/>
      <c r="C58" s="639"/>
      <c r="D58" s="639"/>
      <c r="E58" s="639"/>
      <c r="F58" s="617"/>
      <c r="G58" s="618"/>
      <c r="H58" s="622"/>
      <c r="I58" s="623"/>
      <c r="J58" s="265"/>
      <c r="K58" s="266"/>
      <c r="L58" s="45"/>
      <c r="M58" s="45"/>
    </row>
    <row r="59" spans="2:13" s="58" customFormat="1" ht="15" hidden="1" customHeight="1">
      <c r="B59" s="184"/>
      <c r="C59" s="639"/>
      <c r="D59" s="639"/>
      <c r="E59" s="639"/>
      <c r="F59" s="617"/>
      <c r="G59" s="618"/>
      <c r="H59" s="622"/>
      <c r="I59" s="623"/>
      <c r="J59" s="265"/>
      <c r="K59" s="266"/>
      <c r="L59" s="45"/>
      <c r="M59" s="45"/>
    </row>
    <row r="60" spans="2:13" s="58" customFormat="1" ht="15">
      <c r="B60" s="55" t="str">
        <f>+B25</f>
        <v>Futtermittelinventar</v>
      </c>
      <c r="C60" s="630"/>
      <c r="D60" s="630"/>
      <c r="E60" s="630"/>
      <c r="F60" s="192" t="str">
        <f>+Textes!A62</f>
        <v>Gehalte in kg TS</v>
      </c>
      <c r="G60" s="180"/>
      <c r="H60" s="180"/>
      <c r="I60" s="181"/>
      <c r="J60" s="56" t="str">
        <f>+J25</f>
        <v>Anfang</v>
      </c>
      <c r="K60" s="57" t="str">
        <f>+K25</f>
        <v>Ende</v>
      </c>
      <c r="L60" s="45"/>
      <c r="M60" s="45"/>
    </row>
    <row r="61" spans="2:13" s="58" customFormat="1" ht="15">
      <c r="B61" s="59" t="str">
        <f>+Textes!A61</f>
        <v>Andere Futtermittel</v>
      </c>
      <c r="C61" s="631"/>
      <c r="D61" s="631"/>
      <c r="E61" s="631"/>
      <c r="F61" s="48" t="str">
        <f>F26</f>
        <v>TS in %</v>
      </c>
      <c r="G61" s="50" t="str">
        <f>G26</f>
        <v>MJ UEG</v>
      </c>
      <c r="H61" s="50" t="str">
        <f>H26</f>
        <v>g RP</v>
      </c>
      <c r="I61" s="51" t="str">
        <f>I26</f>
        <v>g P</v>
      </c>
      <c r="J61" s="408" t="str">
        <f>+Textes!A63</f>
        <v>Menge in kg FS</v>
      </c>
      <c r="K61" s="194"/>
      <c r="L61" s="45"/>
      <c r="M61" s="45"/>
    </row>
    <row r="62" spans="2:13" s="58" customFormat="1" ht="15" hidden="1" customHeight="1">
      <c r="B62" s="184"/>
      <c r="C62" s="639"/>
      <c r="D62" s="639"/>
      <c r="E62" s="639"/>
      <c r="F62" s="382"/>
      <c r="G62" s="387"/>
      <c r="H62" s="391"/>
      <c r="I62" s="403"/>
      <c r="J62" s="272"/>
      <c r="K62" s="266"/>
      <c r="L62" s="45"/>
      <c r="M62" s="45"/>
    </row>
    <row r="63" spans="2:13" s="58" customFormat="1" ht="15" customHeight="1">
      <c r="B63" s="184"/>
      <c r="C63" s="676"/>
      <c r="D63" s="676"/>
      <c r="E63" s="676"/>
      <c r="F63" s="383"/>
      <c r="G63" s="388"/>
      <c r="H63" s="392"/>
      <c r="I63" s="404"/>
      <c r="J63" s="272"/>
      <c r="K63" s="266"/>
      <c r="L63" s="45"/>
      <c r="M63" s="45"/>
    </row>
    <row r="64" spans="2:13" s="58" customFormat="1" ht="15" customHeight="1">
      <c r="B64" s="184"/>
      <c r="C64" s="676"/>
      <c r="D64" s="676"/>
      <c r="E64" s="676"/>
      <c r="F64" s="383"/>
      <c r="G64" s="388"/>
      <c r="H64" s="392"/>
      <c r="I64" s="404"/>
      <c r="J64" s="272"/>
      <c r="K64" s="266"/>
      <c r="L64" s="45"/>
      <c r="M64" s="45"/>
    </row>
    <row r="65" spans="2:23" s="58" customFormat="1" ht="15" customHeight="1">
      <c r="B65" s="184"/>
      <c r="C65" s="676"/>
      <c r="D65" s="676"/>
      <c r="E65" s="676"/>
      <c r="F65" s="383"/>
      <c r="G65" s="388"/>
      <c r="H65" s="392"/>
      <c r="I65" s="404"/>
      <c r="J65" s="272"/>
      <c r="K65" s="266"/>
      <c r="L65" s="45"/>
      <c r="M65" s="45"/>
    </row>
    <row r="66" spans="2:23" s="58" customFormat="1" ht="15" customHeight="1">
      <c r="B66" s="184"/>
      <c r="C66" s="676"/>
      <c r="D66" s="676"/>
      <c r="E66" s="676"/>
      <c r="F66" s="383"/>
      <c r="G66" s="388"/>
      <c r="H66" s="392"/>
      <c r="I66" s="404"/>
      <c r="J66" s="272"/>
      <c r="K66" s="266"/>
      <c r="L66" s="45"/>
      <c r="M66" s="45"/>
    </row>
    <row r="67" spans="2:23" s="58" customFormat="1" ht="15" hidden="1" customHeight="1">
      <c r="B67" s="621"/>
      <c r="C67" s="639"/>
      <c r="D67" s="639"/>
      <c r="E67" s="639"/>
      <c r="F67" s="617"/>
      <c r="G67" s="618"/>
      <c r="H67" s="619"/>
      <c r="I67" s="620"/>
      <c r="J67" s="389"/>
      <c r="K67" s="267"/>
      <c r="L67" s="45"/>
      <c r="M67" s="45"/>
    </row>
    <row r="68" spans="2:23" s="58" customFormat="1" ht="15" hidden="1" customHeight="1">
      <c r="B68" s="621"/>
      <c r="C68" s="639"/>
      <c r="D68" s="639"/>
      <c r="E68" s="639"/>
      <c r="F68" s="617"/>
      <c r="G68" s="618"/>
      <c r="H68" s="619"/>
      <c r="I68" s="620"/>
      <c r="J68" s="389"/>
      <c r="K68" s="267"/>
      <c r="L68" s="45"/>
      <c r="M68" s="45"/>
    </row>
    <row r="69" spans="2:23" s="58" customFormat="1" ht="15" hidden="1" customHeight="1">
      <c r="B69" s="621"/>
      <c r="C69" s="639"/>
      <c r="D69" s="639"/>
      <c r="E69" s="639"/>
      <c r="F69" s="617"/>
      <c r="G69" s="618"/>
      <c r="H69" s="619"/>
      <c r="I69" s="620"/>
      <c r="J69" s="389"/>
      <c r="K69" s="267"/>
      <c r="L69" s="45"/>
      <c r="M69" s="45"/>
    </row>
    <row r="70" spans="2:23" s="58" customFormat="1" ht="15" hidden="1" customHeight="1">
      <c r="B70" s="621"/>
      <c r="C70" s="639"/>
      <c r="D70" s="639"/>
      <c r="E70" s="639"/>
      <c r="F70" s="617"/>
      <c r="G70" s="618"/>
      <c r="H70" s="619"/>
      <c r="I70" s="620"/>
      <c r="J70" s="389"/>
      <c r="K70" s="267"/>
      <c r="L70" s="45"/>
      <c r="M70" s="45"/>
    </row>
    <row r="71" spans="2:23" s="58" customFormat="1" ht="15" customHeight="1">
      <c r="B71" s="261" t="str">
        <f>+Textes!A68</f>
        <v>Schotte</v>
      </c>
      <c r="C71" s="632"/>
      <c r="D71" s="632"/>
      <c r="E71" s="632"/>
      <c r="F71" s="393">
        <v>6</v>
      </c>
      <c r="G71" s="394">
        <v>14.6</v>
      </c>
      <c r="H71" s="395">
        <v>129</v>
      </c>
      <c r="I71" s="405">
        <v>7.3</v>
      </c>
      <c r="J71" s="389"/>
      <c r="K71" s="267"/>
      <c r="L71" s="45"/>
      <c r="M71" s="45"/>
    </row>
    <row r="72" spans="2:23" s="58" customFormat="1" ht="15" customHeight="1">
      <c r="B72" s="155" t="str">
        <f>+Textes!A69</f>
        <v>CCM</v>
      </c>
      <c r="C72" s="633"/>
      <c r="D72" s="633"/>
      <c r="E72" s="633"/>
      <c r="F72" s="384">
        <v>61</v>
      </c>
      <c r="G72" s="396">
        <v>15.7</v>
      </c>
      <c r="H72" s="397">
        <v>95</v>
      </c>
      <c r="I72" s="406">
        <v>3.3</v>
      </c>
      <c r="J72" s="390"/>
      <c r="K72" s="268"/>
      <c r="L72" s="45"/>
      <c r="M72" s="45"/>
    </row>
    <row r="73" spans="2:23" s="58" customFormat="1" ht="15">
      <c r="B73" s="160" t="str">
        <f>+Textes!A64</f>
        <v>Raufutter</v>
      </c>
      <c r="C73" s="634"/>
      <c r="D73" s="634"/>
      <c r="E73" s="634"/>
      <c r="F73" s="156"/>
      <c r="G73" s="157"/>
      <c r="H73" s="158"/>
      <c r="I73" s="159"/>
      <c r="J73" s="677" t="str">
        <f>+Textes!A65</f>
        <v>Menge in kg TS</v>
      </c>
      <c r="K73" s="678"/>
      <c r="L73" s="45"/>
      <c r="M73" s="45"/>
    </row>
    <row r="74" spans="2:23" s="58" customFormat="1" ht="15" customHeight="1">
      <c r="B74" s="62" t="str">
        <f>+Textes!A66</f>
        <v>Mais ganze Pflanze</v>
      </c>
      <c r="C74" s="635"/>
      <c r="D74" s="635"/>
      <c r="E74" s="635"/>
      <c r="F74" s="399">
        <v>100</v>
      </c>
      <c r="G74" s="400">
        <v>10.7</v>
      </c>
      <c r="H74" s="401">
        <v>75</v>
      </c>
      <c r="I74" s="407">
        <v>1.9</v>
      </c>
      <c r="J74" s="398"/>
      <c r="K74" s="264"/>
      <c r="L74" s="45"/>
      <c r="M74" s="45"/>
    </row>
    <row r="75" spans="2:23" s="58" customFormat="1" ht="15" customHeight="1">
      <c r="B75" s="63" t="str">
        <f>+Textes!A67</f>
        <v>Wiesenfutter (Gras, Silo, ...)</v>
      </c>
      <c r="C75" s="636"/>
      <c r="D75" s="636"/>
      <c r="E75" s="636"/>
      <c r="F75" s="402">
        <v>100</v>
      </c>
      <c r="G75" s="396">
        <v>7.6</v>
      </c>
      <c r="H75" s="397">
        <v>155</v>
      </c>
      <c r="I75" s="406">
        <v>3.5</v>
      </c>
      <c r="J75" s="390"/>
      <c r="K75" s="268"/>
      <c r="L75" s="45"/>
      <c r="M75" s="45"/>
    </row>
    <row r="76" spans="2:23" ht="4.5" customHeight="1">
      <c r="E76" s="637"/>
    </row>
    <row r="77" spans="2:23" s="65" customFormat="1" ht="15" customHeight="1">
      <c r="B77" s="1" t="str">
        <f>+Textes!A72</f>
        <v>Der Betriebsleiter bestätigt die Vollständigkeit der Angaben auf diesem Inventarblatt, wie auch auf den</v>
      </c>
      <c r="C77" s="1"/>
      <c r="D77" s="1"/>
      <c r="E77" s="637"/>
      <c r="F77" s="1"/>
      <c r="G77" s="1"/>
      <c r="H77" s="1"/>
      <c r="I77" s="1"/>
      <c r="J77" s="1"/>
      <c r="K77" s="1"/>
      <c r="L77" s="64"/>
      <c r="M77" s="64"/>
    </row>
    <row r="78" spans="2:23" ht="13.5" customHeight="1">
      <c r="B78" s="259" t="str">
        <f>+Textes!A73</f>
        <v>dazugehörigen Aufzeichnungen Tiereingang, Tierausgang und Futterzufuhren.</v>
      </c>
      <c r="C78" s="259"/>
      <c r="D78" s="259"/>
      <c r="E78" s="638"/>
      <c r="L78" s="45"/>
      <c r="M78" s="45"/>
      <c r="N78" s="6"/>
      <c r="O78" s="6"/>
      <c r="P78" s="6"/>
      <c r="Q78" s="6"/>
      <c r="R78" s="6"/>
      <c r="S78" s="6"/>
      <c r="T78" s="6"/>
      <c r="U78" s="6"/>
      <c r="V78" s="6"/>
      <c r="W78" s="65"/>
    </row>
    <row r="79" spans="2:23" ht="4.5" customHeight="1">
      <c r="E79" s="637"/>
      <c r="W79" s="6"/>
    </row>
    <row r="80" spans="2:23" ht="20.45" customHeight="1">
      <c r="B80" s="29" t="str">
        <f>+Textes!A70</f>
        <v>Kantonale Kontrollstelle, Datum:</v>
      </c>
      <c r="C80" s="30"/>
      <c r="D80" s="30"/>
      <c r="E80" s="30"/>
      <c r="F80" s="30"/>
      <c r="G80" s="30"/>
      <c r="H80" s="30" t="str">
        <f>+Textes!A71</f>
        <v>Unterschrift:</v>
      </c>
      <c r="I80" s="30"/>
      <c r="J80" s="30"/>
      <c r="K80" s="31"/>
    </row>
    <row r="81" spans="2:24" ht="4.5" customHeight="1">
      <c r="E81" s="637"/>
    </row>
    <row r="82" spans="2:24" ht="21" customHeight="1">
      <c r="B82" s="29" t="str">
        <f>+Textes!A74</f>
        <v>Betriebsleiter, Datum:</v>
      </c>
      <c r="C82" s="30"/>
      <c r="D82" s="30"/>
      <c r="E82" s="30"/>
      <c r="F82" s="30"/>
      <c r="G82" s="30"/>
      <c r="H82" s="30" t="str">
        <f>+H80</f>
        <v>Unterschrift:</v>
      </c>
      <c r="I82" s="30"/>
      <c r="J82" s="30"/>
      <c r="K82" s="31"/>
    </row>
    <row r="83" spans="2:24" ht="15.95" customHeight="1"/>
    <row r="85" spans="2:24" ht="9.9499999999999993" customHeight="1">
      <c r="I85" s="10"/>
    </row>
    <row r="86" spans="2:24">
      <c r="B86" s="40"/>
      <c r="C86" s="40"/>
      <c r="D86" s="40"/>
      <c r="E86" s="40"/>
      <c r="L86" s="1"/>
      <c r="M86" s="1"/>
      <c r="P86" s="6"/>
      <c r="X86" s="1"/>
    </row>
    <row r="87" spans="2:24">
      <c r="B87" s="40"/>
      <c r="C87" s="40"/>
      <c r="D87" s="40"/>
      <c r="E87" s="40"/>
      <c r="L87" s="1"/>
      <c r="M87" s="1"/>
      <c r="P87" s="6"/>
      <c r="X87" s="1"/>
    </row>
    <row r="88" spans="2:24">
      <c r="B88" s="40"/>
      <c r="C88" s="40"/>
      <c r="D88" s="40"/>
      <c r="E88" s="40"/>
      <c r="L88" s="1"/>
      <c r="M88" s="1"/>
      <c r="P88" s="6"/>
      <c r="X88" s="1"/>
    </row>
    <row r="89" spans="2:24">
      <c r="B89" s="40"/>
      <c r="C89" s="40"/>
      <c r="D89" s="40"/>
      <c r="E89" s="40"/>
      <c r="L89" s="1"/>
      <c r="M89" s="1"/>
      <c r="P89" s="6"/>
      <c r="X89" s="1"/>
    </row>
  </sheetData>
  <sheetProtection password="8C69" sheet="1" objects="1" scenarios="1"/>
  <mergeCells count="3">
    <mergeCell ref="I8:J8"/>
    <mergeCell ref="I9:J9"/>
    <mergeCell ref="I6:K6"/>
  </mergeCells>
  <phoneticPr fontId="28" type="noConversion"/>
  <pageMargins left="0.59055118110236227" right="0.31496062992125984" top="0.39370078740157483" bottom="0.31496062992125984" header="0.11811023622047245" footer="0.11811023622047245"/>
  <pageSetup paperSize="9" scale="91" orientation="portrait" r:id="rId1"/>
  <headerFooter alignWithMargins="0">
    <oddFooter>&amp;C&amp;9&amp;F&amp;L&amp;"Arial,Fett"&amp;11AGRIDEA &amp;"Arial,Standard"&amp;9Impex, Version 2.6&amp;R&amp;"Arial,Standard"&amp;9&amp;D / Seite &amp;P</oddFooter>
  </headerFooter>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boSprache">
              <controlPr defaultSize="0" print="0" autoFill="0" autoLine="0" autoPict="0" macro="[0]!Sprachwechsel">
                <anchor moveWithCells="1">
                  <from>
                    <xdr:col>3</xdr:col>
                    <xdr:colOff>1019175</xdr:colOff>
                    <xdr:row>0</xdr:row>
                    <xdr:rowOff>495300</xdr:rowOff>
                  </from>
                  <to>
                    <xdr:col>4</xdr:col>
                    <xdr:colOff>561975</xdr:colOff>
                    <xdr:row>2</xdr:row>
                    <xdr:rowOff>95250</xdr:rowOff>
                  </to>
                </anchor>
              </controlPr>
            </control>
          </mc:Choice>
        </mc:AlternateContent>
        <mc:AlternateContent xmlns:mc="http://schemas.openxmlformats.org/markup-compatibility/2006">
          <mc:Choice Requires="x14">
            <control shapeId="1036" r:id="rId5" name="cboTierart">
              <controlPr defaultSize="0" print="0" autoFill="0" autoLine="0" autoPict="0" macro="[0]!Tierwechsel">
                <anchor moveWithCells="1">
                  <from>
                    <xdr:col>5</xdr:col>
                    <xdr:colOff>485775</xdr:colOff>
                    <xdr:row>0</xdr:row>
                    <xdr:rowOff>495300</xdr:rowOff>
                  </from>
                  <to>
                    <xdr:col>7</xdr:col>
                    <xdr:colOff>628650</xdr:colOff>
                    <xdr:row>2</xdr:row>
                    <xdr:rowOff>104775</xdr:rowOff>
                  </to>
                </anchor>
              </controlPr>
            </control>
          </mc:Choice>
        </mc:AlternateContent>
        <mc:AlternateContent xmlns:mc="http://schemas.openxmlformats.org/markup-compatibility/2006">
          <mc:Choice Requires="x14">
            <control shapeId="1057" r:id="rId6" name="chk_FuttermittelErweitert">
              <controlPr defaultSize="0" print="0" autoFill="0" autoLine="0" autoPict="0" macro="[0]!chk_FuttermittelErweitert_Klick">
                <anchor moveWithCells="1">
                  <from>
                    <xdr:col>9</xdr:col>
                    <xdr:colOff>38100</xdr:colOff>
                    <xdr:row>0</xdr:row>
                    <xdr:rowOff>485775</xdr:rowOff>
                  </from>
                  <to>
                    <xdr:col>9</xdr:col>
                    <xdr:colOff>352425</xdr:colOff>
                    <xdr:row>2</xdr:row>
                    <xdr:rowOff>104775</xdr:rowOff>
                  </to>
                </anchor>
              </controlPr>
            </control>
          </mc:Choice>
        </mc:AlternateContent>
        <mc:AlternateContent xmlns:mc="http://schemas.openxmlformats.org/markup-compatibility/2006">
          <mc:Choice Requires="x14">
            <control shapeId="1059" r:id="rId7" name="lblFuttermittelErweitern">
              <controlPr defaultSize="0" print="0" autoFill="0" autoPict="0">
                <anchor moveWithCells="1">
                  <from>
                    <xdr:col>9</xdr:col>
                    <xdr:colOff>247650</xdr:colOff>
                    <xdr:row>1</xdr:row>
                    <xdr:rowOff>9525</xdr:rowOff>
                  </from>
                  <to>
                    <xdr:col>21</xdr:col>
                    <xdr:colOff>371475</xdr:colOff>
                    <xdr:row>2</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P69"/>
  <sheetViews>
    <sheetView showGridLines="0" showRowColHeaders="0" showZeros="0" zoomScaleNormal="100" workbookViewId="0">
      <selection activeCell="B7" sqref="B7"/>
    </sheetView>
  </sheetViews>
  <sheetFormatPr baseColWidth="10" defaultColWidth="11.42578125" defaultRowHeight="12.75"/>
  <cols>
    <col min="1" max="1" width="1.42578125" style="1" customWidth="1"/>
    <col min="2" max="7" width="15.5703125" style="1" customWidth="1"/>
    <col min="8" max="8" width="2.85546875" style="1" customWidth="1"/>
    <col min="9" max="9" width="4.85546875" style="1" customWidth="1"/>
    <col min="10" max="11" width="16.5703125" style="1" customWidth="1"/>
    <col min="12" max="12" width="11.42578125" style="162"/>
    <col min="13" max="13" width="11.42578125" style="58"/>
    <col min="14" max="16384" width="11.42578125" style="1"/>
  </cols>
  <sheetData>
    <row r="1" spans="2:16" ht="39" customHeight="1">
      <c r="B1" s="185"/>
      <c r="C1" s="185"/>
      <c r="D1" s="186" t="str">
        <f>+Inv!E1</f>
        <v>Impex:   Mastpoulets</v>
      </c>
      <c r="E1" s="185"/>
      <c r="F1" s="185"/>
      <c r="G1" s="187" t="str">
        <f>"A1a: "&amp;Textes!A76</f>
        <v xml:space="preserve">A1a: Tiereingang </v>
      </c>
    </row>
    <row r="2" spans="2:16">
      <c r="B2" s="679" t="str">
        <f>Inv!C4&amp;IF(Inv!D4=0,"",Inv!D4)</f>
        <v xml:space="preserve">Betriebs-Nr:    </v>
      </c>
      <c r="C2" s="191"/>
      <c r="D2" s="680"/>
      <c r="E2" s="679" t="str">
        <f>Inv!C5&amp;IF(Inv!D5=0,"",Inv!D6&amp;" "&amp;Inv!D5)</f>
        <v xml:space="preserve">Name:    </v>
      </c>
    </row>
    <row r="3" spans="2:16" s="6" customFormat="1" ht="10.5" customHeight="1">
      <c r="B3" s="102"/>
      <c r="O3" s="1"/>
      <c r="P3" s="1"/>
    </row>
    <row r="4" spans="2:16" ht="15">
      <c r="B4" s="176"/>
      <c r="C4" s="177" t="str">
        <f>IF(Textes!G2=1,Textes!A77,Textes!A79)</f>
        <v>Zufuhr Tiere</v>
      </c>
      <c r="D4" s="123"/>
      <c r="E4" s="176"/>
      <c r="F4" s="177" t="str">
        <f>IF(Textes!G2=1,Textes!A78,"")</f>
        <v/>
      </c>
      <c r="G4" s="123"/>
    </row>
    <row r="5" spans="2:16" ht="14.25">
      <c r="B5" s="119" t="str">
        <f>+Textes!A80</f>
        <v>Datum</v>
      </c>
      <c r="C5" s="120" t="str">
        <f>+Textes!A81</f>
        <v>Stück</v>
      </c>
      <c r="D5" s="122" t="str">
        <f>+Textes!A82</f>
        <v>kg LG total</v>
      </c>
      <c r="E5" s="119" t="str">
        <f>IF(Textes!G2=1,B5,"")</f>
        <v/>
      </c>
      <c r="F5" s="121" t="str">
        <f>IF(Textes!G2=1,C5,"")</f>
        <v/>
      </c>
      <c r="G5" s="122" t="str">
        <f>IF(Textes!G2=1,D5,"")</f>
        <v/>
      </c>
    </row>
    <row r="6" spans="2:16" s="9" customFormat="1" ht="12.75" hidden="1" customHeight="1">
      <c r="B6" s="684"/>
      <c r="C6" s="685"/>
      <c r="D6" s="263"/>
      <c r="E6" s="684"/>
      <c r="F6" s="685"/>
      <c r="G6" s="263"/>
    </row>
    <row r="7" spans="2:16" s="9" customFormat="1" ht="12.75" customHeight="1">
      <c r="B7" s="684"/>
      <c r="C7" s="685"/>
      <c r="D7" s="263"/>
      <c r="E7" s="684"/>
      <c r="F7" s="685"/>
      <c r="G7" s="263"/>
    </row>
    <row r="8" spans="2:16" s="9" customFormat="1" ht="12.75" customHeight="1">
      <c r="B8" s="684"/>
      <c r="C8" s="685"/>
      <c r="D8" s="263"/>
      <c r="E8" s="684"/>
      <c r="F8" s="685"/>
      <c r="G8" s="263"/>
    </row>
    <row r="9" spans="2:16" s="9" customFormat="1" ht="12.75" customHeight="1">
      <c r="B9" s="684"/>
      <c r="C9" s="685"/>
      <c r="D9" s="263"/>
      <c r="E9" s="684"/>
      <c r="F9" s="685"/>
      <c r="G9" s="263"/>
    </row>
    <row r="10" spans="2:16" s="9" customFormat="1" ht="12.75" customHeight="1">
      <c r="B10" s="684"/>
      <c r="C10" s="685"/>
      <c r="D10" s="263"/>
      <c r="E10" s="684"/>
      <c r="F10" s="685"/>
      <c r="G10" s="263"/>
    </row>
    <row r="11" spans="2:16" s="9" customFormat="1" ht="12.75" customHeight="1">
      <c r="B11" s="684"/>
      <c r="C11" s="685"/>
      <c r="D11" s="263"/>
      <c r="E11" s="684"/>
      <c r="F11" s="685"/>
      <c r="G11" s="263"/>
    </row>
    <row r="12" spans="2:16" s="9" customFormat="1" ht="12.75" customHeight="1">
      <c r="B12" s="684"/>
      <c r="C12" s="685"/>
      <c r="D12" s="263"/>
      <c r="E12" s="684"/>
      <c r="F12" s="685"/>
      <c r="G12" s="263"/>
    </row>
    <row r="13" spans="2:16" s="9" customFormat="1" ht="12.75" customHeight="1">
      <c r="B13" s="684"/>
      <c r="C13" s="685"/>
      <c r="D13" s="263"/>
      <c r="E13" s="684"/>
      <c r="F13" s="685"/>
      <c r="G13" s="263"/>
    </row>
    <row r="14" spans="2:16" s="9" customFormat="1" ht="12.75" customHeight="1">
      <c r="B14" s="684"/>
      <c r="C14" s="685"/>
      <c r="D14" s="263"/>
      <c r="E14" s="684"/>
      <c r="F14" s="685"/>
      <c r="G14" s="263"/>
      <c r="L14" s="161"/>
      <c r="M14" s="124"/>
    </row>
    <row r="15" spans="2:16" s="9" customFormat="1" ht="12.75" customHeight="1">
      <c r="B15" s="684"/>
      <c r="C15" s="685"/>
      <c r="D15" s="263"/>
      <c r="E15" s="684"/>
      <c r="F15" s="685"/>
      <c r="G15" s="263"/>
      <c r="L15" s="161"/>
      <c r="M15" s="124"/>
    </row>
    <row r="16" spans="2:16" s="9" customFormat="1" ht="12.75" customHeight="1">
      <c r="B16" s="684"/>
      <c r="C16" s="685"/>
      <c r="D16" s="263"/>
      <c r="E16" s="684"/>
      <c r="F16" s="685"/>
      <c r="G16" s="263"/>
      <c r="L16" s="161"/>
      <c r="M16" s="124"/>
    </row>
    <row r="17" spans="2:13" s="9" customFormat="1" ht="12.75" customHeight="1">
      <c r="B17" s="684"/>
      <c r="C17" s="685"/>
      <c r="D17" s="263"/>
      <c r="E17" s="684"/>
      <c r="F17" s="685"/>
      <c r="G17" s="263"/>
      <c r="L17" s="161"/>
      <c r="M17" s="124"/>
    </row>
    <row r="18" spans="2:13" s="9" customFormat="1" ht="12.75" customHeight="1">
      <c r="B18" s="684"/>
      <c r="C18" s="685"/>
      <c r="D18" s="263"/>
      <c r="E18" s="684"/>
      <c r="F18" s="685"/>
      <c r="G18" s="263"/>
      <c r="L18" s="161"/>
      <c r="M18" s="124"/>
    </row>
    <row r="19" spans="2:13" s="9" customFormat="1" ht="12.75" customHeight="1">
      <c r="B19" s="684"/>
      <c r="C19" s="685"/>
      <c r="D19" s="263"/>
      <c r="E19" s="684"/>
      <c r="F19" s="685"/>
      <c r="G19" s="263"/>
      <c r="L19" s="161"/>
      <c r="M19" s="124"/>
    </row>
    <row r="20" spans="2:13" s="9" customFormat="1" ht="12.75" customHeight="1">
      <c r="B20" s="684"/>
      <c r="C20" s="685"/>
      <c r="D20" s="263"/>
      <c r="E20" s="684"/>
      <c r="F20" s="685"/>
      <c r="G20" s="263"/>
      <c r="L20" s="161"/>
      <c r="M20" s="124"/>
    </row>
    <row r="21" spans="2:13" s="9" customFormat="1" ht="12.75" customHeight="1">
      <c r="B21" s="684"/>
      <c r="C21" s="685"/>
      <c r="D21" s="263"/>
      <c r="E21" s="684"/>
      <c r="F21" s="685"/>
      <c r="G21" s="263"/>
      <c r="L21" s="161"/>
      <c r="M21" s="124"/>
    </row>
    <row r="22" spans="2:13" s="9" customFormat="1" ht="12.75" customHeight="1">
      <c r="B22" s="684"/>
      <c r="C22" s="685"/>
      <c r="D22" s="263"/>
      <c r="E22" s="684"/>
      <c r="F22" s="685"/>
      <c r="G22" s="263"/>
      <c r="L22" s="161"/>
      <c r="M22" s="124"/>
    </row>
    <row r="23" spans="2:13" s="9" customFormat="1" ht="12.75" customHeight="1">
      <c r="B23" s="684"/>
      <c r="C23" s="685"/>
      <c r="D23" s="263"/>
      <c r="E23" s="684"/>
      <c r="F23" s="685"/>
      <c r="G23" s="263"/>
      <c r="L23" s="161"/>
      <c r="M23" s="124"/>
    </row>
    <row r="24" spans="2:13" s="9" customFormat="1" ht="12.75" customHeight="1">
      <c r="B24" s="684"/>
      <c r="C24" s="685"/>
      <c r="D24" s="263"/>
      <c r="E24" s="684"/>
      <c r="F24" s="685"/>
      <c r="G24" s="263"/>
      <c r="L24" s="161"/>
      <c r="M24" s="124"/>
    </row>
    <row r="25" spans="2:13" s="9" customFormat="1" ht="12.75" customHeight="1">
      <c r="B25" s="684"/>
      <c r="C25" s="685"/>
      <c r="D25" s="263"/>
      <c r="E25" s="684"/>
      <c r="F25" s="685"/>
      <c r="G25" s="263"/>
      <c r="L25" s="161"/>
      <c r="M25" s="124"/>
    </row>
    <row r="26" spans="2:13" s="9" customFormat="1" ht="12.75" customHeight="1">
      <c r="B26" s="684"/>
      <c r="C26" s="685"/>
      <c r="D26" s="263"/>
      <c r="E26" s="684"/>
      <c r="F26" s="685"/>
      <c r="G26" s="263"/>
      <c r="L26" s="161"/>
      <c r="M26" s="124"/>
    </row>
    <row r="27" spans="2:13" s="9" customFormat="1" ht="12.75" customHeight="1">
      <c r="B27" s="684"/>
      <c r="C27" s="685"/>
      <c r="D27" s="263"/>
      <c r="E27" s="684"/>
      <c r="F27" s="685"/>
      <c r="G27" s="263"/>
      <c r="L27" s="161"/>
      <c r="M27" s="124"/>
    </row>
    <row r="28" spans="2:13" s="9" customFormat="1" ht="12.75" customHeight="1">
      <c r="B28" s="684"/>
      <c r="C28" s="685"/>
      <c r="D28" s="263"/>
      <c r="E28" s="684"/>
      <c r="F28" s="685"/>
      <c r="G28" s="263"/>
      <c r="L28" s="161"/>
      <c r="M28" s="124"/>
    </row>
    <row r="29" spans="2:13" s="9" customFormat="1" ht="12.75" customHeight="1">
      <c r="B29" s="684"/>
      <c r="C29" s="685"/>
      <c r="D29" s="263"/>
      <c r="E29" s="684"/>
      <c r="F29" s="685"/>
      <c r="G29" s="263"/>
      <c r="L29" s="161"/>
      <c r="M29" s="124"/>
    </row>
    <row r="30" spans="2:13" s="9" customFormat="1" ht="12.75" customHeight="1">
      <c r="B30" s="684"/>
      <c r="C30" s="685"/>
      <c r="D30" s="263"/>
      <c r="E30" s="684"/>
      <c r="F30" s="685"/>
      <c r="G30" s="263"/>
      <c r="L30" s="161"/>
      <c r="M30" s="124"/>
    </row>
    <row r="31" spans="2:13" s="9" customFormat="1" ht="12.75" customHeight="1">
      <c r="B31" s="684"/>
      <c r="C31" s="685"/>
      <c r="D31" s="263"/>
      <c r="E31" s="684"/>
      <c r="F31" s="685"/>
      <c r="G31" s="263"/>
      <c r="L31" s="161"/>
      <c r="M31" s="124"/>
    </row>
    <row r="32" spans="2:13" s="9" customFormat="1" ht="12.75" customHeight="1">
      <c r="B32" s="684"/>
      <c r="C32" s="685"/>
      <c r="D32" s="263"/>
      <c r="E32" s="684"/>
      <c r="F32" s="685"/>
      <c r="G32" s="263"/>
      <c r="L32" s="161"/>
      <c r="M32" s="124"/>
    </row>
    <row r="33" spans="2:13" s="9" customFormat="1" ht="12.75" customHeight="1">
      <c r="B33" s="684"/>
      <c r="C33" s="685"/>
      <c r="D33" s="263"/>
      <c r="E33" s="684"/>
      <c r="F33" s="685"/>
      <c r="G33" s="263"/>
      <c r="L33" s="161"/>
      <c r="M33" s="124"/>
    </row>
    <row r="34" spans="2:13" s="9" customFormat="1" ht="12.75" customHeight="1">
      <c r="B34" s="684"/>
      <c r="C34" s="685"/>
      <c r="D34" s="263"/>
      <c r="E34" s="684"/>
      <c r="F34" s="685"/>
      <c r="G34" s="263"/>
      <c r="L34" s="161"/>
      <c r="M34" s="124"/>
    </row>
    <row r="35" spans="2:13" s="9" customFormat="1" ht="12.75" customHeight="1">
      <c r="B35" s="684"/>
      <c r="C35" s="685"/>
      <c r="D35" s="263"/>
      <c r="E35" s="684"/>
      <c r="F35" s="685"/>
      <c r="G35" s="263"/>
      <c r="L35" s="161"/>
      <c r="M35" s="124"/>
    </row>
    <row r="36" spans="2:13" s="9" customFormat="1" ht="12.75" customHeight="1">
      <c r="B36" s="684"/>
      <c r="C36" s="685"/>
      <c r="D36" s="263"/>
      <c r="E36" s="684"/>
      <c r="F36" s="685"/>
      <c r="G36" s="263"/>
    </row>
    <row r="37" spans="2:13" s="9" customFormat="1" ht="12.75" customHeight="1">
      <c r="B37" s="684"/>
      <c r="C37" s="685"/>
      <c r="D37" s="263"/>
      <c r="E37" s="684"/>
      <c r="F37" s="685"/>
      <c r="G37" s="263"/>
    </row>
    <row r="38" spans="2:13" s="9" customFormat="1" ht="12.75" customHeight="1">
      <c r="B38" s="684"/>
      <c r="C38" s="685"/>
      <c r="D38" s="263"/>
      <c r="E38" s="684"/>
      <c r="F38" s="685"/>
      <c r="G38" s="263"/>
      <c r="L38" s="161"/>
      <c r="M38" s="124"/>
    </row>
    <row r="39" spans="2:13" s="9" customFormat="1" ht="12.75" customHeight="1">
      <c r="B39" s="684"/>
      <c r="C39" s="685"/>
      <c r="D39" s="263"/>
      <c r="E39" s="684"/>
      <c r="F39" s="685"/>
      <c r="G39" s="263"/>
      <c r="L39" s="161"/>
      <c r="M39" s="124"/>
    </row>
    <row r="40" spans="2:13" s="9" customFormat="1" ht="12.75" customHeight="1">
      <c r="B40" s="684"/>
      <c r="C40" s="685"/>
      <c r="D40" s="263"/>
      <c r="E40" s="684"/>
      <c r="F40" s="685"/>
      <c r="G40" s="263"/>
      <c r="L40" s="161"/>
      <c r="M40" s="124"/>
    </row>
    <row r="41" spans="2:13" s="9" customFormat="1" ht="12.75" customHeight="1">
      <c r="B41" s="684"/>
      <c r="C41" s="685"/>
      <c r="D41" s="263"/>
      <c r="E41" s="684"/>
      <c r="F41" s="685"/>
      <c r="G41" s="263"/>
      <c r="L41" s="161"/>
      <c r="M41" s="124"/>
    </row>
    <row r="42" spans="2:13" s="9" customFormat="1" ht="12.75" customHeight="1">
      <c r="B42" s="684"/>
      <c r="C42" s="685"/>
      <c r="D42" s="263"/>
      <c r="E42" s="684"/>
      <c r="F42" s="685"/>
      <c r="G42" s="263"/>
      <c r="L42" s="161"/>
      <c r="M42" s="124"/>
    </row>
    <row r="43" spans="2:13" s="9" customFormat="1" ht="12.75" customHeight="1">
      <c r="B43" s="684"/>
      <c r="C43" s="685"/>
      <c r="D43" s="263"/>
      <c r="E43" s="684"/>
      <c r="F43" s="685"/>
      <c r="G43" s="263"/>
      <c r="L43" s="161"/>
      <c r="M43" s="124"/>
    </row>
    <row r="44" spans="2:13" s="9" customFormat="1" ht="12.75" customHeight="1">
      <c r="B44" s="684"/>
      <c r="C44" s="685"/>
      <c r="D44" s="263"/>
      <c r="E44" s="684"/>
      <c r="F44" s="685"/>
      <c r="G44" s="263"/>
      <c r="L44" s="161"/>
      <c r="M44" s="124"/>
    </row>
    <row r="45" spans="2:13" s="9" customFormat="1" ht="12.75" customHeight="1">
      <c r="B45" s="684"/>
      <c r="C45" s="685"/>
      <c r="D45" s="263"/>
      <c r="E45" s="684"/>
      <c r="F45" s="685"/>
      <c r="G45" s="263"/>
      <c r="L45" s="161"/>
      <c r="M45" s="124"/>
    </row>
    <row r="46" spans="2:13" s="9" customFormat="1" ht="12.75" customHeight="1">
      <c r="B46" s="684"/>
      <c r="C46" s="685"/>
      <c r="D46" s="263"/>
      <c r="E46" s="684"/>
      <c r="F46" s="685"/>
      <c r="G46" s="263"/>
      <c r="L46" s="161"/>
      <c r="M46" s="124"/>
    </row>
    <row r="47" spans="2:13" s="9" customFormat="1" ht="12.75" customHeight="1">
      <c r="B47" s="684"/>
      <c r="C47" s="685"/>
      <c r="D47" s="263"/>
      <c r="E47" s="684"/>
      <c r="F47" s="685"/>
      <c r="G47" s="263"/>
      <c r="L47" s="161"/>
      <c r="M47" s="124"/>
    </row>
    <row r="48" spans="2:13" s="9" customFormat="1" ht="12.75" customHeight="1">
      <c r="B48" s="684"/>
      <c r="C48" s="685"/>
      <c r="D48" s="263"/>
      <c r="E48" s="684"/>
      <c r="F48" s="685"/>
      <c r="G48" s="263"/>
      <c r="L48" s="161"/>
      <c r="M48" s="124"/>
    </row>
    <row r="49" spans="1:13" s="9" customFormat="1" ht="12.75" customHeight="1">
      <c r="B49" s="684"/>
      <c r="C49" s="685"/>
      <c r="D49" s="263"/>
      <c r="E49" s="684"/>
      <c r="F49" s="685"/>
      <c r="G49" s="263"/>
    </row>
    <row r="50" spans="1:13" s="9" customFormat="1" ht="12.75" customHeight="1">
      <c r="B50" s="684"/>
      <c r="C50" s="685"/>
      <c r="D50" s="263"/>
      <c r="E50" s="684"/>
      <c r="F50" s="685"/>
      <c r="G50" s="263"/>
    </row>
    <row r="51" spans="1:13" s="9" customFormat="1" ht="12.75" customHeight="1">
      <c r="B51" s="684"/>
      <c r="C51" s="685"/>
      <c r="D51" s="263"/>
      <c r="E51" s="684"/>
      <c r="F51" s="685"/>
      <c r="G51" s="263"/>
      <c r="L51" s="161"/>
      <c r="M51" s="124"/>
    </row>
    <row r="52" spans="1:13" s="9" customFormat="1" ht="12.75" customHeight="1">
      <c r="B52" s="684"/>
      <c r="C52" s="685"/>
      <c r="D52" s="263"/>
      <c r="E52" s="684"/>
      <c r="F52" s="685"/>
      <c r="G52" s="263"/>
      <c r="L52" s="161"/>
      <c r="M52" s="124"/>
    </row>
    <row r="53" spans="1:13" s="9" customFormat="1" ht="12.75" customHeight="1">
      <c r="B53" s="684"/>
      <c r="C53" s="685"/>
      <c r="D53" s="263"/>
      <c r="E53" s="684"/>
      <c r="F53" s="685"/>
      <c r="G53" s="263"/>
      <c r="L53" s="161"/>
      <c r="M53" s="124"/>
    </row>
    <row r="54" spans="1:13" s="9" customFormat="1" ht="12.75" customHeight="1">
      <c r="B54" s="684"/>
      <c r="C54" s="685"/>
      <c r="D54" s="263"/>
      <c r="E54" s="684"/>
      <c r="F54" s="685"/>
      <c r="G54" s="263"/>
      <c r="L54" s="161"/>
      <c r="M54" s="124"/>
    </row>
    <row r="55" spans="1:13" s="9" customFormat="1" ht="12.75" customHeight="1">
      <c r="B55" s="684"/>
      <c r="C55" s="685"/>
      <c r="D55" s="263"/>
      <c r="E55" s="684"/>
      <c r="F55" s="685"/>
      <c r="G55" s="263"/>
      <c r="L55" s="161"/>
      <c r="M55" s="124"/>
    </row>
    <row r="56" spans="1:13" s="9" customFormat="1" ht="12.75" customHeight="1">
      <c r="B56" s="684"/>
      <c r="C56" s="685"/>
      <c r="D56" s="263"/>
      <c r="E56" s="684"/>
      <c r="F56" s="685"/>
      <c r="G56" s="263"/>
      <c r="L56" s="161"/>
      <c r="M56" s="124"/>
    </row>
    <row r="57" spans="1:13" s="9" customFormat="1" ht="12.75" customHeight="1">
      <c r="B57" s="684"/>
      <c r="C57" s="685"/>
      <c r="D57" s="263"/>
      <c r="E57" s="684"/>
      <c r="F57" s="685"/>
      <c r="G57" s="263"/>
      <c r="L57" s="161"/>
      <c r="M57" s="124"/>
    </row>
    <row r="58" spans="1:13" s="9" customFormat="1" ht="12.75" customHeight="1">
      <c r="B58" s="684"/>
      <c r="C58" s="685"/>
      <c r="D58" s="263"/>
      <c r="E58" s="684"/>
      <c r="F58" s="685"/>
      <c r="G58" s="263"/>
      <c r="L58" s="161"/>
      <c r="M58" s="124"/>
    </row>
    <row r="59" spans="1:13" s="9" customFormat="1" ht="12.75" customHeight="1">
      <c r="B59" s="684"/>
      <c r="C59" s="685"/>
      <c r="D59" s="263"/>
      <c r="E59" s="684"/>
      <c r="F59" s="685"/>
      <c r="G59" s="263"/>
      <c r="L59" s="161"/>
      <c r="M59" s="124"/>
    </row>
    <row r="60" spans="1:13" s="9" customFormat="1" ht="12.75" customHeight="1">
      <c r="B60" s="684"/>
      <c r="C60" s="685"/>
      <c r="D60" s="263"/>
      <c r="E60" s="684"/>
      <c r="F60" s="685"/>
      <c r="G60" s="263"/>
      <c r="L60" s="161"/>
      <c r="M60" s="124"/>
    </row>
    <row r="61" spans="1:13" s="9" customFormat="1" ht="15" customHeight="1">
      <c r="A61" s="3"/>
      <c r="B61" s="27" t="str">
        <f>+Textes!A83</f>
        <v>Total Zufuhr</v>
      </c>
      <c r="C61" s="270">
        <f>IF(SUM(C6:C60)=0,0,SUM(C6:C60))</f>
        <v>0</v>
      </c>
      <c r="D61" s="271">
        <f>IF(SUM(D6:D60)=0,0,SUM(D6:D60))</f>
        <v>0</v>
      </c>
      <c r="E61" s="27" t="str">
        <f>+Textes!A83</f>
        <v>Total Zufuhr</v>
      </c>
      <c r="F61" s="270">
        <f>IF(SUM(F6:F60)=0,0,SUM(F6:F60))</f>
        <v>0</v>
      </c>
      <c r="G61" s="271">
        <f>IF(SUM(G6:G60)=0,0,SUM(G6:G60))</f>
        <v>0</v>
      </c>
      <c r="H61" s="3"/>
      <c r="I61" s="3"/>
      <c r="L61" s="161"/>
      <c r="M61" s="124"/>
    </row>
    <row r="62" spans="1:13" s="9" customFormat="1" ht="15" customHeight="1">
      <c r="A62" s="3"/>
      <c r="B62" s="6"/>
      <c r="C62" s="3"/>
      <c r="D62" s="21"/>
      <c r="E62" s="6"/>
      <c r="F62" s="21"/>
      <c r="G62" s="21"/>
      <c r="H62" s="3"/>
      <c r="I62" s="3"/>
      <c r="L62" s="161"/>
      <c r="M62" s="124"/>
    </row>
    <row r="63" spans="1:13" s="3" customFormat="1" ht="20.25">
      <c r="A63" s="65"/>
      <c r="B63" s="29" t="str">
        <f>+Textes!A70</f>
        <v>Kantonale Kontrollstelle, Datum:</v>
      </c>
      <c r="C63" s="30"/>
      <c r="D63" s="30"/>
      <c r="E63" s="30" t="str">
        <f>+Textes!A85</f>
        <v>Unterschrift:</v>
      </c>
      <c r="F63" s="30"/>
      <c r="G63" s="31"/>
      <c r="L63" s="161"/>
      <c r="M63" s="124"/>
    </row>
    <row r="64" spans="1:13" s="3" customFormat="1" ht="4.5" customHeight="1">
      <c r="A64" s="1"/>
      <c r="B64" s="1"/>
      <c r="C64" s="1"/>
      <c r="D64" s="1"/>
      <c r="E64" s="127"/>
      <c r="F64" s="1"/>
      <c r="G64" s="1"/>
      <c r="L64" s="161"/>
      <c r="M64" s="124"/>
    </row>
    <row r="65" spans="1:13" s="65" customFormat="1" ht="21" customHeight="1">
      <c r="A65" s="1"/>
      <c r="B65" s="29" t="str">
        <f>+Textes!A74</f>
        <v>Betriebsleiter, Datum:</v>
      </c>
      <c r="C65" s="30"/>
      <c r="D65" s="30"/>
      <c r="E65" s="30" t="str">
        <f>+Textes!A85</f>
        <v>Unterschrift:</v>
      </c>
      <c r="F65" s="30"/>
      <c r="G65" s="31"/>
      <c r="H65" s="1"/>
      <c r="I65" s="1"/>
      <c r="L65" s="161"/>
      <c r="M65" s="124"/>
    </row>
    <row r="66" spans="1:13" ht="6" customHeight="1">
      <c r="F66" s="10"/>
      <c r="G66" s="10"/>
      <c r="L66" s="163"/>
      <c r="M66" s="165"/>
    </row>
    <row r="67" spans="1:13" ht="21" customHeight="1">
      <c r="F67" s="10"/>
      <c r="G67" s="10"/>
      <c r="L67" s="163"/>
      <c r="M67" s="165"/>
    </row>
    <row r="68" spans="1:13" ht="5.25" customHeight="1">
      <c r="F68" s="10"/>
      <c r="G68" s="10"/>
      <c r="L68" s="164"/>
      <c r="M68" s="166"/>
    </row>
    <row r="69" spans="1:13" ht="15" customHeight="1"/>
  </sheetData>
  <sheetProtection password="8C69" sheet="1" scenarios="1"/>
  <phoneticPr fontId="28" type="noConversion"/>
  <pageMargins left="0.59055118110236227" right="0.39370078740157483" top="0.39370078740157483" bottom="0.31496062992125984" header="0.11811023622047245" footer="0.11811023622047245"/>
  <pageSetup paperSize="9" scale="93" orientation="portrait" r:id="rId1"/>
  <headerFooter alignWithMargins="0">
    <oddFooter>&amp;C&amp;9&amp;F&amp;L&amp;"Arial,Fett"&amp;11AGRIDEA &amp;"Arial,Standard"&amp;9Impex, Version 2.6&amp;R&amp;"Arial,Standard"&amp;9&amp;D / Seite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P69"/>
  <sheetViews>
    <sheetView showGridLines="0" showRowColHeaders="0" showZeros="0" zoomScaleNormal="100" workbookViewId="0">
      <selection activeCell="B7" sqref="B7"/>
    </sheetView>
  </sheetViews>
  <sheetFormatPr baseColWidth="10" defaultColWidth="11.42578125" defaultRowHeight="12.75"/>
  <cols>
    <col min="1" max="1" width="1.42578125" style="1" customWidth="1"/>
    <col min="2" max="7" width="15.5703125" style="1" customWidth="1"/>
    <col min="8" max="8" width="2.85546875" style="1" customWidth="1"/>
    <col min="9" max="9" width="4.85546875" style="1" customWidth="1"/>
    <col min="10" max="11" width="16.5703125" style="1" customWidth="1"/>
    <col min="12" max="12" width="11.42578125" style="162"/>
    <col min="13" max="13" width="11.42578125" style="58"/>
    <col min="14" max="16384" width="11.42578125" style="1"/>
  </cols>
  <sheetData>
    <row r="1" spans="2:16" ht="39" customHeight="1">
      <c r="B1" s="185"/>
      <c r="C1" s="185"/>
      <c r="D1" s="186" t="str">
        <f>+Inv!E1</f>
        <v>Impex:   Mastpoulets</v>
      </c>
      <c r="E1" s="185"/>
      <c r="F1" s="185"/>
      <c r="G1" s="187" t="str">
        <f>"A1b: "&amp;Textes!A76</f>
        <v xml:space="preserve">A1b: Tiereingang </v>
      </c>
    </row>
    <row r="2" spans="2:16">
      <c r="B2" s="679" t="str">
        <f>Inv!C4&amp;IF(Inv!D4=0,"",Inv!D4)</f>
        <v xml:space="preserve">Betriebs-Nr:    </v>
      </c>
      <c r="C2" s="191"/>
      <c r="D2" s="680"/>
      <c r="E2" s="679" t="str">
        <f>Inv!C5&amp;IF(Inv!D5=0,"",Inv!D6&amp;" "&amp;Inv!D5)</f>
        <v xml:space="preserve">Name:    </v>
      </c>
      <c r="O2" s="6"/>
      <c r="P2" s="6"/>
    </row>
    <row r="3" spans="2:16" s="6" customFormat="1" ht="10.5" customHeight="1">
      <c r="B3" s="102"/>
    </row>
    <row r="4" spans="2:16" ht="15">
      <c r="B4" s="176"/>
      <c r="C4" s="177" t="str">
        <f>IF(Textes!G2=1,Textes!A77,Textes!A79)</f>
        <v>Zufuhr Tiere</v>
      </c>
      <c r="D4" s="123"/>
      <c r="E4" s="176"/>
      <c r="F4" s="177" t="str">
        <f>IF(Textes!G2=1,Textes!A78,"")</f>
        <v/>
      </c>
      <c r="G4" s="123"/>
      <c r="O4" s="6"/>
      <c r="P4" s="6"/>
    </row>
    <row r="5" spans="2:16" ht="14.25">
      <c r="B5" s="119" t="str">
        <f>+Textes!A80</f>
        <v>Datum</v>
      </c>
      <c r="C5" s="120" t="str">
        <f>+Textes!A81</f>
        <v>Stück</v>
      </c>
      <c r="D5" s="122" t="str">
        <f>+Textes!A82</f>
        <v>kg LG total</v>
      </c>
      <c r="E5" s="119" t="str">
        <f>IF(Textes!G2=1,B5,"")</f>
        <v/>
      </c>
      <c r="F5" s="121" t="str">
        <f>IF(Textes!G2=1,C5,"")</f>
        <v/>
      </c>
      <c r="G5" s="122" t="str">
        <f>IF(Textes!G2=1,D5,"")</f>
        <v/>
      </c>
    </row>
    <row r="6" spans="2:16" s="9" customFormat="1" ht="12.75" hidden="1" customHeight="1">
      <c r="B6" s="684"/>
      <c r="C6" s="685"/>
      <c r="D6" s="263"/>
      <c r="E6" s="684"/>
      <c r="F6" s="685"/>
      <c r="G6" s="263"/>
    </row>
    <row r="7" spans="2:16" s="9" customFormat="1" ht="12.75" customHeight="1">
      <c r="B7" s="684"/>
      <c r="C7" s="685"/>
      <c r="D7" s="263"/>
      <c r="E7" s="684"/>
      <c r="F7" s="685"/>
      <c r="G7" s="263"/>
    </row>
    <row r="8" spans="2:16" s="9" customFormat="1" ht="12.75" customHeight="1">
      <c r="B8" s="684"/>
      <c r="C8" s="685"/>
      <c r="D8" s="263"/>
      <c r="E8" s="684"/>
      <c r="F8" s="685"/>
      <c r="G8" s="263"/>
    </row>
    <row r="9" spans="2:16" s="9" customFormat="1" ht="12.75" customHeight="1">
      <c r="B9" s="684"/>
      <c r="C9" s="685"/>
      <c r="D9" s="263"/>
      <c r="E9" s="684"/>
      <c r="F9" s="685"/>
      <c r="G9" s="263"/>
    </row>
    <row r="10" spans="2:16" s="9" customFormat="1" ht="12.75" customHeight="1">
      <c r="B10" s="684"/>
      <c r="C10" s="685"/>
      <c r="D10" s="263"/>
      <c r="E10" s="684"/>
      <c r="F10" s="685"/>
      <c r="G10" s="263"/>
    </row>
    <row r="11" spans="2:16" s="9" customFormat="1" ht="12.75" customHeight="1">
      <c r="B11" s="684"/>
      <c r="C11" s="685"/>
      <c r="D11" s="263"/>
      <c r="E11" s="684"/>
      <c r="F11" s="685"/>
      <c r="G11" s="263"/>
    </row>
    <row r="12" spans="2:16" s="9" customFormat="1" ht="12.75" customHeight="1">
      <c r="B12" s="684"/>
      <c r="C12" s="685"/>
      <c r="D12" s="263"/>
      <c r="E12" s="684"/>
      <c r="F12" s="685"/>
      <c r="G12" s="263"/>
    </row>
    <row r="13" spans="2:16" s="9" customFormat="1" ht="12.75" customHeight="1">
      <c r="B13" s="684"/>
      <c r="C13" s="685"/>
      <c r="D13" s="263"/>
      <c r="E13" s="684"/>
      <c r="F13" s="685"/>
      <c r="G13" s="263"/>
    </row>
    <row r="14" spans="2:16" s="9" customFormat="1" ht="12.75" customHeight="1">
      <c r="B14" s="684"/>
      <c r="C14" s="685"/>
      <c r="D14" s="263"/>
      <c r="E14" s="684"/>
      <c r="F14" s="685"/>
      <c r="G14" s="263"/>
      <c r="L14" s="161"/>
      <c r="M14" s="124"/>
    </row>
    <row r="15" spans="2:16" s="9" customFormat="1" ht="12.75" customHeight="1">
      <c r="B15" s="684"/>
      <c r="C15" s="685"/>
      <c r="D15" s="263"/>
      <c r="E15" s="684"/>
      <c r="F15" s="685"/>
      <c r="G15" s="263"/>
      <c r="L15" s="161"/>
      <c r="M15" s="124"/>
    </row>
    <row r="16" spans="2:16" s="9" customFormat="1" ht="12.75" customHeight="1">
      <c r="B16" s="684"/>
      <c r="C16" s="685"/>
      <c r="D16" s="263"/>
      <c r="E16" s="684"/>
      <c r="F16" s="685"/>
      <c r="G16" s="263"/>
      <c r="L16" s="161"/>
      <c r="M16" s="124"/>
    </row>
    <row r="17" spans="2:13" s="9" customFormat="1" ht="12.75" customHeight="1">
      <c r="B17" s="684"/>
      <c r="C17" s="685"/>
      <c r="D17" s="263"/>
      <c r="E17" s="684"/>
      <c r="F17" s="685"/>
      <c r="G17" s="263"/>
      <c r="L17" s="161"/>
      <c r="M17" s="124"/>
    </row>
    <row r="18" spans="2:13" s="9" customFormat="1" ht="12.75" customHeight="1">
      <c r="B18" s="684"/>
      <c r="C18" s="685"/>
      <c r="D18" s="263"/>
      <c r="E18" s="684"/>
      <c r="F18" s="685"/>
      <c r="G18" s="263"/>
      <c r="L18" s="161"/>
      <c r="M18" s="124"/>
    </row>
    <row r="19" spans="2:13" s="9" customFormat="1" ht="12.75" customHeight="1">
      <c r="B19" s="684"/>
      <c r="C19" s="685"/>
      <c r="D19" s="263"/>
      <c r="E19" s="684"/>
      <c r="F19" s="685"/>
      <c r="G19" s="263"/>
      <c r="L19" s="161"/>
      <c r="M19" s="124"/>
    </row>
    <row r="20" spans="2:13" s="9" customFormat="1" ht="12.75" customHeight="1">
      <c r="B20" s="684"/>
      <c r="C20" s="685"/>
      <c r="D20" s="263"/>
      <c r="E20" s="684"/>
      <c r="F20" s="685"/>
      <c r="G20" s="263"/>
      <c r="L20" s="161"/>
      <c r="M20" s="124"/>
    </row>
    <row r="21" spans="2:13" s="9" customFormat="1" ht="12.75" customHeight="1">
      <c r="B21" s="684"/>
      <c r="C21" s="685"/>
      <c r="D21" s="263"/>
      <c r="E21" s="684"/>
      <c r="F21" s="685"/>
      <c r="G21" s="263"/>
      <c r="L21" s="161"/>
      <c r="M21" s="124"/>
    </row>
    <row r="22" spans="2:13" s="9" customFormat="1" ht="12.75" customHeight="1">
      <c r="B22" s="684"/>
      <c r="C22" s="685"/>
      <c r="D22" s="263"/>
      <c r="E22" s="684"/>
      <c r="F22" s="685"/>
      <c r="G22" s="263"/>
      <c r="L22" s="161"/>
      <c r="M22" s="124"/>
    </row>
    <row r="23" spans="2:13" s="9" customFormat="1" ht="12.75" customHeight="1">
      <c r="B23" s="684"/>
      <c r="C23" s="685"/>
      <c r="D23" s="263"/>
      <c r="E23" s="684"/>
      <c r="F23" s="685"/>
      <c r="G23" s="263"/>
      <c r="L23" s="161"/>
      <c r="M23" s="124"/>
    </row>
    <row r="24" spans="2:13" s="9" customFormat="1" ht="12.75" customHeight="1">
      <c r="B24" s="684"/>
      <c r="C24" s="685"/>
      <c r="D24" s="263"/>
      <c r="E24" s="684"/>
      <c r="F24" s="685"/>
      <c r="G24" s="263"/>
      <c r="L24" s="161"/>
      <c r="M24" s="124"/>
    </row>
    <row r="25" spans="2:13" s="9" customFormat="1" ht="12.75" customHeight="1">
      <c r="B25" s="684"/>
      <c r="C25" s="685"/>
      <c r="D25" s="263"/>
      <c r="E25" s="684"/>
      <c r="F25" s="685"/>
      <c r="G25" s="263"/>
      <c r="L25" s="161"/>
      <c r="M25" s="124"/>
    </row>
    <row r="26" spans="2:13" s="9" customFormat="1" ht="12.75" customHeight="1">
      <c r="B26" s="684"/>
      <c r="C26" s="685"/>
      <c r="D26" s="263"/>
      <c r="E26" s="684"/>
      <c r="F26" s="685"/>
      <c r="G26" s="263"/>
      <c r="L26" s="161"/>
      <c r="M26" s="124"/>
    </row>
    <row r="27" spans="2:13" s="9" customFormat="1" ht="12.75" customHeight="1">
      <c r="B27" s="684"/>
      <c r="C27" s="685"/>
      <c r="D27" s="263"/>
      <c r="E27" s="684"/>
      <c r="F27" s="685"/>
      <c r="G27" s="263"/>
      <c r="L27" s="161"/>
      <c r="M27" s="124"/>
    </row>
    <row r="28" spans="2:13" s="9" customFormat="1" ht="12.75" customHeight="1">
      <c r="B28" s="684"/>
      <c r="C28" s="685"/>
      <c r="D28" s="263"/>
      <c r="E28" s="684"/>
      <c r="F28" s="685"/>
      <c r="G28" s="263"/>
      <c r="L28" s="161"/>
      <c r="M28" s="124"/>
    </row>
    <row r="29" spans="2:13" s="9" customFormat="1" ht="12.75" customHeight="1">
      <c r="B29" s="684"/>
      <c r="C29" s="685"/>
      <c r="D29" s="263"/>
      <c r="E29" s="684"/>
      <c r="F29" s="685"/>
      <c r="G29" s="263"/>
      <c r="L29" s="161"/>
      <c r="M29" s="124"/>
    </row>
    <row r="30" spans="2:13" s="9" customFormat="1" ht="12.75" customHeight="1">
      <c r="B30" s="684"/>
      <c r="C30" s="685"/>
      <c r="D30" s="263"/>
      <c r="E30" s="684"/>
      <c r="F30" s="685"/>
      <c r="G30" s="263"/>
      <c r="L30" s="161"/>
      <c r="M30" s="124"/>
    </row>
    <row r="31" spans="2:13" s="9" customFormat="1" ht="12.75" customHeight="1">
      <c r="B31" s="684"/>
      <c r="C31" s="685"/>
      <c r="D31" s="263"/>
      <c r="E31" s="684"/>
      <c r="F31" s="685"/>
      <c r="G31" s="263"/>
      <c r="L31" s="161"/>
      <c r="M31" s="124"/>
    </row>
    <row r="32" spans="2:13" s="9" customFormat="1" ht="12.75" customHeight="1">
      <c r="B32" s="684"/>
      <c r="C32" s="685"/>
      <c r="D32" s="263"/>
      <c r="E32" s="684"/>
      <c r="F32" s="685"/>
      <c r="G32" s="263"/>
      <c r="L32" s="161"/>
      <c r="M32" s="124"/>
    </row>
    <row r="33" spans="2:13" s="9" customFormat="1" ht="12.75" customHeight="1">
      <c r="B33" s="684"/>
      <c r="C33" s="685"/>
      <c r="D33" s="263"/>
      <c r="E33" s="684"/>
      <c r="F33" s="685"/>
      <c r="G33" s="263"/>
      <c r="L33" s="161"/>
      <c r="M33" s="124"/>
    </row>
    <row r="34" spans="2:13" s="9" customFormat="1" ht="12.75" customHeight="1">
      <c r="B34" s="684"/>
      <c r="C34" s="685"/>
      <c r="D34" s="263"/>
      <c r="E34" s="684"/>
      <c r="F34" s="685"/>
      <c r="G34" s="263"/>
      <c r="L34" s="161"/>
      <c r="M34" s="124"/>
    </row>
    <row r="35" spans="2:13" s="9" customFormat="1" ht="12.75" customHeight="1">
      <c r="B35" s="684"/>
      <c r="C35" s="685"/>
      <c r="D35" s="263"/>
      <c r="E35" s="684"/>
      <c r="F35" s="685"/>
      <c r="G35" s="263"/>
      <c r="L35" s="161"/>
      <c r="M35" s="124"/>
    </row>
    <row r="36" spans="2:13" s="9" customFormat="1" ht="12.75" customHeight="1">
      <c r="B36" s="684"/>
      <c r="C36" s="685"/>
      <c r="D36" s="263"/>
      <c r="E36" s="684"/>
      <c r="F36" s="685"/>
      <c r="G36" s="263"/>
    </row>
    <row r="37" spans="2:13" s="9" customFormat="1" ht="12.75" customHeight="1">
      <c r="B37" s="684"/>
      <c r="C37" s="685"/>
      <c r="D37" s="263"/>
      <c r="E37" s="684"/>
      <c r="F37" s="685"/>
      <c r="G37" s="263"/>
    </row>
    <row r="38" spans="2:13" s="9" customFormat="1" ht="12.75" customHeight="1">
      <c r="B38" s="684"/>
      <c r="C38" s="685"/>
      <c r="D38" s="263"/>
      <c r="E38" s="684"/>
      <c r="F38" s="685"/>
      <c r="G38" s="263"/>
      <c r="L38" s="161"/>
      <c r="M38" s="124"/>
    </row>
    <row r="39" spans="2:13" s="9" customFormat="1" ht="12.75" customHeight="1">
      <c r="B39" s="684"/>
      <c r="C39" s="685"/>
      <c r="D39" s="263"/>
      <c r="E39" s="684"/>
      <c r="F39" s="685"/>
      <c r="G39" s="263"/>
      <c r="L39" s="161"/>
      <c r="M39" s="124"/>
    </row>
    <row r="40" spans="2:13" s="9" customFormat="1" ht="12.75" customHeight="1">
      <c r="B40" s="684"/>
      <c r="C40" s="685"/>
      <c r="D40" s="263"/>
      <c r="E40" s="684"/>
      <c r="F40" s="685"/>
      <c r="G40" s="263"/>
      <c r="L40" s="161"/>
      <c r="M40" s="124"/>
    </row>
    <row r="41" spans="2:13" s="9" customFormat="1" ht="12.75" customHeight="1">
      <c r="B41" s="684"/>
      <c r="C41" s="685"/>
      <c r="D41" s="263"/>
      <c r="E41" s="684"/>
      <c r="F41" s="685"/>
      <c r="G41" s="263"/>
      <c r="L41" s="161"/>
      <c r="M41" s="124"/>
    </row>
    <row r="42" spans="2:13" s="9" customFormat="1" ht="12.75" customHeight="1">
      <c r="B42" s="684"/>
      <c r="C42" s="685"/>
      <c r="D42" s="263"/>
      <c r="E42" s="684"/>
      <c r="F42" s="685"/>
      <c r="G42" s="263"/>
      <c r="L42" s="161"/>
      <c r="M42" s="124"/>
    </row>
    <row r="43" spans="2:13" s="9" customFormat="1" ht="12.75" customHeight="1">
      <c r="B43" s="684"/>
      <c r="C43" s="685"/>
      <c r="D43" s="263"/>
      <c r="E43" s="684"/>
      <c r="F43" s="685"/>
      <c r="G43" s="263"/>
      <c r="L43" s="161"/>
      <c r="M43" s="124"/>
    </row>
    <row r="44" spans="2:13" s="9" customFormat="1" ht="12.75" customHeight="1">
      <c r="B44" s="684"/>
      <c r="C44" s="685"/>
      <c r="D44" s="263"/>
      <c r="E44" s="684"/>
      <c r="F44" s="685"/>
      <c r="G44" s="263"/>
      <c r="L44" s="161"/>
      <c r="M44" s="124"/>
    </row>
    <row r="45" spans="2:13" s="9" customFormat="1" ht="12.75" customHeight="1">
      <c r="B45" s="684"/>
      <c r="C45" s="685"/>
      <c r="D45" s="263"/>
      <c r="E45" s="684"/>
      <c r="F45" s="685"/>
      <c r="G45" s="263"/>
      <c r="L45" s="161"/>
      <c r="M45" s="124"/>
    </row>
    <row r="46" spans="2:13" s="9" customFormat="1" ht="12.75" customHeight="1">
      <c r="B46" s="684"/>
      <c r="C46" s="685"/>
      <c r="D46" s="263"/>
      <c r="E46" s="684"/>
      <c r="F46" s="685"/>
      <c r="G46" s="263"/>
      <c r="L46" s="161"/>
      <c r="M46" s="124"/>
    </row>
    <row r="47" spans="2:13" s="9" customFormat="1" ht="12.75" customHeight="1">
      <c r="B47" s="684"/>
      <c r="C47" s="685"/>
      <c r="D47" s="263"/>
      <c r="E47" s="684"/>
      <c r="F47" s="685"/>
      <c r="G47" s="263"/>
      <c r="L47" s="161"/>
      <c r="M47" s="124"/>
    </row>
    <row r="48" spans="2:13" s="9" customFormat="1" ht="12.75" customHeight="1">
      <c r="B48" s="684"/>
      <c r="C48" s="685"/>
      <c r="D48" s="263"/>
      <c r="E48" s="684"/>
      <c r="F48" s="685"/>
      <c r="G48" s="263"/>
      <c r="L48" s="161"/>
      <c r="M48" s="124"/>
    </row>
    <row r="49" spans="1:13" s="9" customFormat="1" ht="12.75" customHeight="1">
      <c r="B49" s="684"/>
      <c r="C49" s="685"/>
      <c r="D49" s="263"/>
      <c r="E49" s="684"/>
      <c r="F49" s="685"/>
      <c r="G49" s="263"/>
    </row>
    <row r="50" spans="1:13" s="9" customFormat="1" ht="12.75" customHeight="1">
      <c r="B50" s="684"/>
      <c r="C50" s="685"/>
      <c r="D50" s="263"/>
      <c r="E50" s="684"/>
      <c r="F50" s="685"/>
      <c r="G50" s="263"/>
    </row>
    <row r="51" spans="1:13" s="9" customFormat="1" ht="12.75" customHeight="1">
      <c r="B51" s="684"/>
      <c r="C51" s="685"/>
      <c r="D51" s="263"/>
      <c r="E51" s="684"/>
      <c r="F51" s="685"/>
      <c r="G51" s="263"/>
      <c r="L51" s="161"/>
      <c r="M51" s="124"/>
    </row>
    <row r="52" spans="1:13" s="9" customFormat="1" ht="12.75" customHeight="1">
      <c r="B52" s="684"/>
      <c r="C52" s="685"/>
      <c r="D52" s="263"/>
      <c r="E52" s="684"/>
      <c r="F52" s="685"/>
      <c r="G52" s="263"/>
      <c r="L52" s="161"/>
      <c r="M52" s="124"/>
    </row>
    <row r="53" spans="1:13" s="9" customFormat="1" ht="12.75" customHeight="1">
      <c r="B53" s="684"/>
      <c r="C53" s="685"/>
      <c r="D53" s="263"/>
      <c r="E53" s="684"/>
      <c r="F53" s="685"/>
      <c r="G53" s="263"/>
      <c r="L53" s="161"/>
      <c r="M53" s="124"/>
    </row>
    <row r="54" spans="1:13" s="9" customFormat="1" ht="12.75" customHeight="1">
      <c r="B54" s="684"/>
      <c r="C54" s="685"/>
      <c r="D54" s="263"/>
      <c r="E54" s="684"/>
      <c r="F54" s="685"/>
      <c r="G54" s="263"/>
      <c r="L54" s="161"/>
      <c r="M54" s="124"/>
    </row>
    <row r="55" spans="1:13" s="9" customFormat="1" ht="12.75" customHeight="1">
      <c r="B55" s="684"/>
      <c r="C55" s="685"/>
      <c r="D55" s="263"/>
      <c r="E55" s="684"/>
      <c r="F55" s="685"/>
      <c r="G55" s="263"/>
      <c r="L55" s="161"/>
      <c r="M55" s="124"/>
    </row>
    <row r="56" spans="1:13" s="9" customFormat="1" ht="12.75" customHeight="1">
      <c r="B56" s="684"/>
      <c r="C56" s="685"/>
      <c r="D56" s="263"/>
      <c r="E56" s="684"/>
      <c r="F56" s="685"/>
      <c r="G56" s="263"/>
      <c r="L56" s="161"/>
      <c r="M56" s="124"/>
    </row>
    <row r="57" spans="1:13" s="9" customFormat="1" ht="12.75" customHeight="1">
      <c r="B57" s="684"/>
      <c r="C57" s="685"/>
      <c r="D57" s="263"/>
      <c r="E57" s="684"/>
      <c r="F57" s="685"/>
      <c r="G57" s="263"/>
      <c r="L57" s="161"/>
      <c r="M57" s="124"/>
    </row>
    <row r="58" spans="1:13" s="9" customFormat="1" ht="12.75" customHeight="1">
      <c r="B58" s="684"/>
      <c r="C58" s="685"/>
      <c r="D58" s="263"/>
      <c r="E58" s="684"/>
      <c r="F58" s="685"/>
      <c r="G58" s="263"/>
      <c r="L58" s="161"/>
      <c r="M58" s="124"/>
    </row>
    <row r="59" spans="1:13" s="9" customFormat="1" ht="12.75" customHeight="1">
      <c r="B59" s="684"/>
      <c r="C59" s="685"/>
      <c r="D59" s="263"/>
      <c r="E59" s="684"/>
      <c r="F59" s="685"/>
      <c r="G59" s="263"/>
      <c r="L59" s="161"/>
      <c r="M59" s="124"/>
    </row>
    <row r="60" spans="1:13" s="9" customFormat="1" ht="12.75" customHeight="1">
      <c r="B60" s="684"/>
      <c r="C60" s="685"/>
      <c r="D60" s="263"/>
      <c r="E60" s="684"/>
      <c r="F60" s="685"/>
      <c r="G60" s="263"/>
      <c r="L60" s="161"/>
      <c r="M60" s="124"/>
    </row>
    <row r="61" spans="1:13" s="9" customFormat="1" ht="15" customHeight="1">
      <c r="A61" s="3"/>
      <c r="B61" s="27" t="str">
        <f>+Textes!A83</f>
        <v>Total Zufuhr</v>
      </c>
      <c r="C61" s="270">
        <f>IF(SUM(C6:C60)=0,0,SUM(C6:C60))</f>
        <v>0</v>
      </c>
      <c r="D61" s="271">
        <f>IF(SUM(D6:D60)=0,0,SUM(D6:D60))</f>
        <v>0</v>
      </c>
      <c r="E61" s="27" t="str">
        <f>+Textes!A83</f>
        <v>Total Zufuhr</v>
      </c>
      <c r="F61" s="270">
        <f>IF(SUM(F6:F60)=0,0,SUM(F6:F60))</f>
        <v>0</v>
      </c>
      <c r="G61" s="271">
        <f>IF(SUM(G6:G60)=0,0,SUM(G6:G60))</f>
        <v>0</v>
      </c>
      <c r="H61" s="3"/>
      <c r="I61" s="3"/>
      <c r="L61" s="161"/>
      <c r="M61" s="124"/>
    </row>
    <row r="62" spans="1:13" s="9" customFormat="1" ht="15" customHeight="1">
      <c r="A62" s="3"/>
      <c r="B62" s="6"/>
      <c r="C62" s="3"/>
      <c r="D62" s="21"/>
      <c r="E62" s="6"/>
      <c r="F62" s="21"/>
      <c r="G62" s="21"/>
      <c r="H62" s="3"/>
      <c r="I62" s="3"/>
      <c r="L62" s="161"/>
      <c r="M62" s="124"/>
    </row>
    <row r="63" spans="1:13" s="3" customFormat="1" ht="20.25">
      <c r="A63" s="65"/>
      <c r="B63" s="29" t="str">
        <f>+Textes!A70</f>
        <v>Kantonale Kontrollstelle, Datum:</v>
      </c>
      <c r="C63" s="30"/>
      <c r="D63" s="30"/>
      <c r="E63" s="30" t="str">
        <f>+Textes!A85</f>
        <v>Unterschrift:</v>
      </c>
      <c r="F63" s="30"/>
      <c r="G63" s="31"/>
      <c r="L63" s="161"/>
      <c r="M63" s="124"/>
    </row>
    <row r="64" spans="1:13" s="3" customFormat="1" ht="4.5" customHeight="1">
      <c r="A64" s="1"/>
      <c r="B64" s="1"/>
      <c r="C64" s="1"/>
      <c r="D64" s="1"/>
      <c r="E64" s="127"/>
      <c r="F64" s="1"/>
      <c r="G64" s="1"/>
      <c r="L64" s="161"/>
      <c r="M64" s="124"/>
    </row>
    <row r="65" spans="1:13" s="65" customFormat="1" ht="21" customHeight="1">
      <c r="A65" s="1"/>
      <c r="B65" s="29" t="str">
        <f>+Textes!A74</f>
        <v>Betriebsleiter, Datum:</v>
      </c>
      <c r="C65" s="30"/>
      <c r="D65" s="30"/>
      <c r="E65" s="30" t="str">
        <f>+Textes!A85</f>
        <v>Unterschrift:</v>
      </c>
      <c r="F65" s="30"/>
      <c r="G65" s="31"/>
      <c r="H65" s="1"/>
      <c r="I65" s="1"/>
      <c r="L65" s="161"/>
      <c r="M65" s="124"/>
    </row>
    <row r="66" spans="1:13" ht="6" customHeight="1">
      <c r="F66" s="10"/>
      <c r="G66" s="10"/>
      <c r="L66" s="163"/>
      <c r="M66" s="165"/>
    </row>
    <row r="67" spans="1:13" ht="21" customHeight="1">
      <c r="F67" s="10"/>
      <c r="G67" s="10"/>
      <c r="L67" s="163"/>
      <c r="M67" s="165"/>
    </row>
    <row r="68" spans="1:13" ht="5.25" customHeight="1">
      <c r="F68" s="10"/>
      <c r="G68" s="10"/>
      <c r="L68" s="164"/>
      <c r="M68" s="166"/>
    </row>
    <row r="69" spans="1:13" ht="15" customHeight="1"/>
  </sheetData>
  <sheetProtection password="8C69" sheet="1" scenarios="1"/>
  <phoneticPr fontId="28" type="noConversion"/>
  <pageMargins left="0.59055118110236227" right="0.39370078740157483" top="0.39370078740157483" bottom="0.32" header="0.11811023622047245" footer="0.11811023622047245"/>
  <pageSetup paperSize="9" scale="93" orientation="portrait" r:id="rId1"/>
  <headerFooter alignWithMargins="0">
    <oddFooter>&amp;C&amp;9&amp;F&amp;L&amp;"Arial,Fett"&amp;11AGRIDEA &amp;"Arial,Standard"&amp;9Impex, Version 2.6&amp;R&amp;"Arial,Standard"&amp;9&amp;D / Seite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P69"/>
  <sheetViews>
    <sheetView showGridLines="0" showRowColHeaders="0" showZeros="0" workbookViewId="0">
      <selection activeCell="B7" sqref="B7"/>
    </sheetView>
  </sheetViews>
  <sheetFormatPr baseColWidth="10" defaultColWidth="11.42578125" defaultRowHeight="12.75"/>
  <cols>
    <col min="1" max="1" width="1.42578125" style="1" customWidth="1"/>
    <col min="2" max="7" width="15.5703125" style="1" customWidth="1"/>
    <col min="8" max="8" width="2.85546875" style="1" customWidth="1"/>
    <col min="9" max="9" width="4.85546875" style="1" customWidth="1"/>
    <col min="10" max="11" width="16.5703125" style="1" customWidth="1"/>
    <col min="12" max="12" width="11.42578125" style="162"/>
    <col min="13" max="13" width="11.42578125" style="58"/>
    <col min="14" max="16384" width="11.42578125" style="1"/>
  </cols>
  <sheetData>
    <row r="1" spans="2:16" ht="39" customHeight="1">
      <c r="B1" s="185"/>
      <c r="C1" s="185"/>
      <c r="D1" s="186" t="str">
        <f>+Inv!E1</f>
        <v>Impex:   Mastpoulets</v>
      </c>
      <c r="E1" s="185"/>
      <c r="F1" s="185"/>
      <c r="G1" s="187" t="str">
        <f>"A1c: "&amp;Textes!A76</f>
        <v xml:space="preserve">A1c: Tiereingang </v>
      </c>
    </row>
    <row r="2" spans="2:16">
      <c r="B2" s="679" t="str">
        <f>Inv!C4&amp;IF(Inv!D4=0,"",Inv!D4)</f>
        <v xml:space="preserve">Betriebs-Nr:    </v>
      </c>
      <c r="C2" s="191"/>
      <c r="D2" s="680"/>
      <c r="E2" s="679" t="str">
        <f>Inv!C5&amp;IF(Inv!D5=0,"",Inv!D6&amp;" "&amp;Inv!D5)</f>
        <v xml:space="preserve">Name:    </v>
      </c>
      <c r="O2" s="6"/>
      <c r="P2" s="6"/>
    </row>
    <row r="3" spans="2:16" s="6" customFormat="1" ht="10.5" customHeight="1">
      <c r="B3" s="102"/>
    </row>
    <row r="4" spans="2:16" ht="15">
      <c r="B4" s="176"/>
      <c r="C4" s="177" t="str">
        <f>IF(Textes!G2=1,Textes!A77,Textes!A79)</f>
        <v>Zufuhr Tiere</v>
      </c>
      <c r="D4" s="123"/>
      <c r="E4" s="176"/>
      <c r="F4" s="177" t="str">
        <f>IF(Textes!G2=1,Textes!A78,"")</f>
        <v/>
      </c>
      <c r="G4" s="123"/>
    </row>
    <row r="5" spans="2:16" ht="14.25">
      <c r="B5" s="119" t="str">
        <f>+Textes!A80</f>
        <v>Datum</v>
      </c>
      <c r="C5" s="120" t="str">
        <f>+Textes!A81</f>
        <v>Stück</v>
      </c>
      <c r="D5" s="122" t="str">
        <f>+Textes!A82</f>
        <v>kg LG total</v>
      </c>
      <c r="E5" s="119" t="str">
        <f>IF(Textes!G2=1,B5,"")</f>
        <v/>
      </c>
      <c r="F5" s="121" t="str">
        <f>IF(Textes!G2=1,C5,"")</f>
        <v/>
      </c>
      <c r="G5" s="122" t="str">
        <f>IF(Textes!G2=1,D5,"")</f>
        <v/>
      </c>
    </row>
    <row r="6" spans="2:16" s="9" customFormat="1" ht="12.75" hidden="1" customHeight="1">
      <c r="B6" s="684"/>
      <c r="C6" s="685"/>
      <c r="D6" s="263"/>
      <c r="E6" s="684"/>
      <c r="F6" s="685"/>
      <c r="G6" s="263"/>
    </row>
    <row r="7" spans="2:16" s="9" customFormat="1" ht="12.75" customHeight="1">
      <c r="B7" s="684"/>
      <c r="C7" s="685"/>
      <c r="D7" s="263"/>
      <c r="E7" s="684"/>
      <c r="F7" s="685"/>
      <c r="G7" s="263"/>
    </row>
    <row r="8" spans="2:16" s="9" customFormat="1" ht="12.75" customHeight="1">
      <c r="B8" s="684"/>
      <c r="C8" s="685"/>
      <c r="D8" s="263"/>
      <c r="E8" s="684"/>
      <c r="F8" s="685"/>
      <c r="G8" s="263"/>
    </row>
    <row r="9" spans="2:16" s="9" customFormat="1" ht="12.75" customHeight="1">
      <c r="B9" s="684"/>
      <c r="C9" s="685"/>
      <c r="D9" s="263"/>
      <c r="E9" s="684"/>
      <c r="F9" s="685"/>
      <c r="G9" s="263"/>
    </row>
    <row r="10" spans="2:16" s="9" customFormat="1" ht="12.75" customHeight="1">
      <c r="B10" s="684"/>
      <c r="C10" s="685"/>
      <c r="D10" s="263"/>
      <c r="E10" s="684"/>
      <c r="F10" s="685"/>
      <c r="G10" s="263"/>
    </row>
    <row r="11" spans="2:16" s="9" customFormat="1" ht="12.75" customHeight="1">
      <c r="B11" s="684"/>
      <c r="C11" s="685"/>
      <c r="D11" s="263"/>
      <c r="E11" s="684"/>
      <c r="F11" s="685"/>
      <c r="G11" s="263"/>
    </row>
    <row r="12" spans="2:16" s="9" customFormat="1" ht="12.75" customHeight="1">
      <c r="B12" s="684"/>
      <c r="C12" s="685"/>
      <c r="D12" s="263"/>
      <c r="E12" s="684"/>
      <c r="F12" s="685"/>
      <c r="G12" s="263"/>
    </row>
    <row r="13" spans="2:16" s="9" customFormat="1" ht="12.75" customHeight="1">
      <c r="B13" s="684"/>
      <c r="C13" s="685"/>
      <c r="D13" s="263"/>
      <c r="E13" s="684"/>
      <c r="F13" s="685"/>
      <c r="G13" s="263"/>
    </row>
    <row r="14" spans="2:16" s="9" customFormat="1" ht="12.75" customHeight="1">
      <c r="B14" s="684"/>
      <c r="C14" s="685"/>
      <c r="D14" s="263"/>
      <c r="E14" s="684"/>
      <c r="F14" s="685"/>
      <c r="G14" s="263"/>
      <c r="L14" s="161"/>
      <c r="M14" s="124"/>
    </row>
    <row r="15" spans="2:16" s="9" customFormat="1" ht="12.75" customHeight="1">
      <c r="B15" s="684"/>
      <c r="C15" s="685"/>
      <c r="D15" s="263"/>
      <c r="E15" s="684"/>
      <c r="F15" s="685"/>
      <c r="G15" s="263"/>
      <c r="L15" s="161"/>
      <c r="M15" s="124"/>
    </row>
    <row r="16" spans="2:16" s="9" customFormat="1" ht="12.75" customHeight="1">
      <c r="B16" s="684"/>
      <c r="C16" s="685"/>
      <c r="D16" s="263"/>
      <c r="E16" s="684"/>
      <c r="F16" s="685"/>
      <c r="G16" s="263"/>
      <c r="L16" s="161"/>
      <c r="M16" s="124"/>
    </row>
    <row r="17" spans="2:13" s="9" customFormat="1" ht="12.75" customHeight="1">
      <c r="B17" s="684"/>
      <c r="C17" s="685"/>
      <c r="D17" s="263"/>
      <c r="E17" s="684"/>
      <c r="F17" s="685"/>
      <c r="G17" s="263"/>
      <c r="L17" s="161"/>
      <c r="M17" s="124"/>
    </row>
    <row r="18" spans="2:13" s="9" customFormat="1" ht="12.75" customHeight="1">
      <c r="B18" s="684"/>
      <c r="C18" s="685"/>
      <c r="D18" s="263"/>
      <c r="E18" s="684"/>
      <c r="F18" s="685"/>
      <c r="G18" s="263"/>
      <c r="L18" s="161"/>
      <c r="M18" s="124"/>
    </row>
    <row r="19" spans="2:13" s="9" customFormat="1" ht="12.75" customHeight="1">
      <c r="B19" s="684"/>
      <c r="C19" s="685"/>
      <c r="D19" s="263"/>
      <c r="E19" s="684"/>
      <c r="F19" s="685"/>
      <c r="G19" s="263"/>
      <c r="L19" s="161"/>
      <c r="M19" s="124"/>
    </row>
    <row r="20" spans="2:13" s="9" customFormat="1" ht="12.75" customHeight="1">
      <c r="B20" s="684"/>
      <c r="C20" s="685"/>
      <c r="D20" s="263"/>
      <c r="E20" s="684"/>
      <c r="F20" s="685"/>
      <c r="G20" s="263"/>
      <c r="L20" s="161"/>
      <c r="M20" s="124"/>
    </row>
    <row r="21" spans="2:13" s="9" customFormat="1" ht="12.75" customHeight="1">
      <c r="B21" s="684"/>
      <c r="C21" s="685"/>
      <c r="D21" s="263"/>
      <c r="E21" s="684"/>
      <c r="F21" s="685"/>
      <c r="G21" s="263"/>
      <c r="L21" s="161"/>
      <c r="M21" s="124"/>
    </row>
    <row r="22" spans="2:13" s="9" customFormat="1" ht="12.75" customHeight="1">
      <c r="B22" s="684"/>
      <c r="C22" s="685"/>
      <c r="D22" s="263"/>
      <c r="E22" s="684"/>
      <c r="F22" s="685"/>
      <c r="G22" s="263"/>
      <c r="L22" s="161"/>
      <c r="M22" s="124"/>
    </row>
    <row r="23" spans="2:13" s="9" customFormat="1" ht="12.75" customHeight="1">
      <c r="B23" s="684"/>
      <c r="C23" s="685"/>
      <c r="D23" s="263"/>
      <c r="E23" s="684"/>
      <c r="F23" s="685"/>
      <c r="G23" s="263"/>
      <c r="L23" s="161"/>
      <c r="M23" s="124"/>
    </row>
    <row r="24" spans="2:13" s="9" customFormat="1" ht="12.75" customHeight="1">
      <c r="B24" s="684"/>
      <c r="C24" s="685"/>
      <c r="D24" s="263"/>
      <c r="E24" s="684"/>
      <c r="F24" s="685"/>
      <c r="G24" s="263"/>
      <c r="L24" s="161"/>
      <c r="M24" s="124"/>
    </row>
    <row r="25" spans="2:13" s="9" customFormat="1" ht="12.75" customHeight="1">
      <c r="B25" s="684"/>
      <c r="C25" s="685"/>
      <c r="D25" s="263"/>
      <c r="E25" s="684"/>
      <c r="F25" s="685"/>
      <c r="G25" s="263"/>
      <c r="L25" s="161"/>
      <c r="M25" s="124"/>
    </row>
    <row r="26" spans="2:13" s="9" customFormat="1" ht="12.75" customHeight="1">
      <c r="B26" s="684"/>
      <c r="C26" s="685"/>
      <c r="D26" s="263"/>
      <c r="E26" s="684"/>
      <c r="F26" s="685"/>
      <c r="G26" s="263"/>
      <c r="L26" s="161"/>
      <c r="M26" s="124"/>
    </row>
    <row r="27" spans="2:13" s="9" customFormat="1" ht="12.75" customHeight="1">
      <c r="B27" s="684"/>
      <c r="C27" s="685"/>
      <c r="D27" s="263"/>
      <c r="E27" s="684"/>
      <c r="F27" s="685"/>
      <c r="G27" s="263"/>
      <c r="L27" s="161"/>
      <c r="M27" s="124"/>
    </row>
    <row r="28" spans="2:13" s="9" customFormat="1" ht="12.75" customHeight="1">
      <c r="B28" s="684"/>
      <c r="C28" s="685"/>
      <c r="D28" s="263"/>
      <c r="E28" s="684"/>
      <c r="F28" s="685"/>
      <c r="G28" s="263"/>
      <c r="L28" s="161"/>
      <c r="M28" s="124"/>
    </row>
    <row r="29" spans="2:13" s="9" customFormat="1" ht="12.75" customHeight="1">
      <c r="B29" s="684"/>
      <c r="C29" s="685"/>
      <c r="D29" s="263"/>
      <c r="E29" s="684"/>
      <c r="F29" s="685"/>
      <c r="G29" s="263"/>
      <c r="L29" s="161"/>
      <c r="M29" s="124"/>
    </row>
    <row r="30" spans="2:13" s="9" customFormat="1" ht="12.75" customHeight="1">
      <c r="B30" s="684"/>
      <c r="C30" s="685"/>
      <c r="D30" s="263"/>
      <c r="E30" s="684"/>
      <c r="F30" s="685"/>
      <c r="G30" s="263"/>
      <c r="L30" s="161"/>
      <c r="M30" s="124"/>
    </row>
    <row r="31" spans="2:13" s="9" customFormat="1" ht="12.75" customHeight="1">
      <c r="B31" s="684"/>
      <c r="C31" s="685"/>
      <c r="D31" s="263"/>
      <c r="E31" s="684"/>
      <c r="F31" s="685"/>
      <c r="G31" s="263"/>
      <c r="L31" s="161"/>
      <c r="M31" s="124"/>
    </row>
    <row r="32" spans="2:13" s="9" customFormat="1" ht="12.75" customHeight="1">
      <c r="B32" s="684"/>
      <c r="C32" s="685"/>
      <c r="D32" s="263"/>
      <c r="E32" s="684"/>
      <c r="F32" s="685"/>
      <c r="G32" s="263"/>
      <c r="L32" s="161"/>
      <c r="M32" s="124"/>
    </row>
    <row r="33" spans="2:13" s="9" customFormat="1" ht="12.75" customHeight="1">
      <c r="B33" s="684"/>
      <c r="C33" s="685"/>
      <c r="D33" s="263"/>
      <c r="E33" s="684"/>
      <c r="F33" s="685"/>
      <c r="G33" s="263"/>
      <c r="L33" s="161"/>
      <c r="M33" s="124"/>
    </row>
    <row r="34" spans="2:13" s="9" customFormat="1" ht="12.75" customHeight="1">
      <c r="B34" s="684"/>
      <c r="C34" s="685"/>
      <c r="D34" s="263"/>
      <c r="E34" s="684"/>
      <c r="F34" s="685"/>
      <c r="G34" s="263"/>
      <c r="L34" s="161"/>
      <c r="M34" s="124"/>
    </row>
    <row r="35" spans="2:13" s="9" customFormat="1" ht="12.75" customHeight="1">
      <c r="B35" s="684"/>
      <c r="C35" s="685"/>
      <c r="D35" s="263"/>
      <c r="E35" s="684"/>
      <c r="F35" s="685"/>
      <c r="G35" s="263"/>
      <c r="L35" s="161"/>
      <c r="M35" s="124"/>
    </row>
    <row r="36" spans="2:13" s="9" customFormat="1" ht="12.75" customHeight="1">
      <c r="B36" s="684"/>
      <c r="C36" s="685"/>
      <c r="D36" s="263"/>
      <c r="E36" s="684"/>
      <c r="F36" s="685"/>
      <c r="G36" s="263"/>
    </row>
    <row r="37" spans="2:13" s="9" customFormat="1" ht="12.75" customHeight="1">
      <c r="B37" s="684"/>
      <c r="C37" s="685"/>
      <c r="D37" s="263"/>
      <c r="E37" s="684"/>
      <c r="F37" s="685"/>
      <c r="G37" s="263"/>
    </row>
    <row r="38" spans="2:13" s="9" customFormat="1" ht="12.75" customHeight="1">
      <c r="B38" s="684"/>
      <c r="C38" s="685"/>
      <c r="D38" s="263"/>
      <c r="E38" s="684"/>
      <c r="F38" s="685"/>
      <c r="G38" s="263"/>
      <c r="L38" s="161"/>
      <c r="M38" s="124"/>
    </row>
    <row r="39" spans="2:13" s="9" customFormat="1" ht="12.75" customHeight="1">
      <c r="B39" s="684"/>
      <c r="C39" s="685"/>
      <c r="D39" s="263"/>
      <c r="E39" s="684"/>
      <c r="F39" s="685"/>
      <c r="G39" s="263"/>
      <c r="L39" s="161"/>
      <c r="M39" s="124"/>
    </row>
    <row r="40" spans="2:13" s="9" customFormat="1" ht="12.75" customHeight="1">
      <c r="B40" s="684"/>
      <c r="C40" s="685"/>
      <c r="D40" s="263"/>
      <c r="E40" s="684"/>
      <c r="F40" s="685"/>
      <c r="G40" s="263"/>
      <c r="L40" s="161"/>
      <c r="M40" s="124"/>
    </row>
    <row r="41" spans="2:13" s="9" customFormat="1" ht="12.75" customHeight="1">
      <c r="B41" s="684"/>
      <c r="C41" s="685"/>
      <c r="D41" s="263"/>
      <c r="E41" s="684"/>
      <c r="F41" s="685"/>
      <c r="G41" s="263"/>
      <c r="L41" s="161"/>
      <c r="M41" s="124"/>
    </row>
    <row r="42" spans="2:13" s="9" customFormat="1" ht="12.75" customHeight="1">
      <c r="B42" s="684"/>
      <c r="C42" s="685"/>
      <c r="D42" s="263"/>
      <c r="E42" s="684"/>
      <c r="F42" s="685"/>
      <c r="G42" s="263"/>
      <c r="L42" s="161"/>
      <c r="M42" s="124"/>
    </row>
    <row r="43" spans="2:13" s="9" customFormat="1" ht="12.75" customHeight="1">
      <c r="B43" s="684"/>
      <c r="C43" s="685"/>
      <c r="D43" s="263"/>
      <c r="E43" s="684"/>
      <c r="F43" s="685"/>
      <c r="G43" s="263"/>
      <c r="L43" s="161"/>
      <c r="M43" s="124"/>
    </row>
    <row r="44" spans="2:13" s="9" customFormat="1" ht="12.75" customHeight="1">
      <c r="B44" s="684"/>
      <c r="C44" s="685"/>
      <c r="D44" s="263"/>
      <c r="E44" s="684"/>
      <c r="F44" s="685"/>
      <c r="G44" s="263"/>
      <c r="L44" s="161"/>
      <c r="M44" s="124"/>
    </row>
    <row r="45" spans="2:13" s="9" customFormat="1" ht="12.75" customHeight="1">
      <c r="B45" s="684"/>
      <c r="C45" s="685"/>
      <c r="D45" s="263"/>
      <c r="E45" s="684"/>
      <c r="F45" s="685"/>
      <c r="G45" s="263"/>
      <c r="L45" s="161"/>
      <c r="M45" s="124"/>
    </row>
    <row r="46" spans="2:13" s="9" customFormat="1" ht="12.75" customHeight="1">
      <c r="B46" s="684"/>
      <c r="C46" s="685"/>
      <c r="D46" s="263"/>
      <c r="E46" s="684"/>
      <c r="F46" s="685"/>
      <c r="G46" s="263"/>
      <c r="L46" s="161"/>
      <c r="M46" s="124"/>
    </row>
    <row r="47" spans="2:13" s="9" customFormat="1" ht="12.75" customHeight="1">
      <c r="B47" s="684"/>
      <c r="C47" s="685"/>
      <c r="D47" s="263"/>
      <c r="E47" s="684"/>
      <c r="F47" s="685"/>
      <c r="G47" s="263"/>
      <c r="L47" s="161"/>
      <c r="M47" s="124"/>
    </row>
    <row r="48" spans="2:13" s="9" customFormat="1" ht="12.75" customHeight="1">
      <c r="B48" s="684"/>
      <c r="C48" s="685"/>
      <c r="D48" s="263"/>
      <c r="E48" s="684"/>
      <c r="F48" s="685"/>
      <c r="G48" s="263"/>
      <c r="L48" s="161"/>
      <c r="M48" s="124"/>
    </row>
    <row r="49" spans="1:13" s="9" customFormat="1" ht="12.75" customHeight="1">
      <c r="B49" s="684"/>
      <c r="C49" s="685"/>
      <c r="D49" s="263"/>
      <c r="E49" s="684"/>
      <c r="F49" s="685"/>
      <c r="G49" s="263"/>
    </row>
    <row r="50" spans="1:13" s="9" customFormat="1" ht="12.75" customHeight="1">
      <c r="B50" s="684"/>
      <c r="C50" s="685"/>
      <c r="D50" s="263"/>
      <c r="E50" s="684"/>
      <c r="F50" s="685"/>
      <c r="G50" s="263"/>
    </row>
    <row r="51" spans="1:13" s="9" customFormat="1" ht="12.75" customHeight="1">
      <c r="B51" s="684"/>
      <c r="C51" s="685"/>
      <c r="D51" s="263"/>
      <c r="E51" s="684"/>
      <c r="F51" s="685"/>
      <c r="G51" s="263"/>
      <c r="L51" s="161"/>
      <c r="M51" s="124"/>
    </row>
    <row r="52" spans="1:13" s="9" customFormat="1" ht="12.75" customHeight="1">
      <c r="B52" s="684"/>
      <c r="C52" s="685"/>
      <c r="D52" s="263"/>
      <c r="E52" s="684"/>
      <c r="F52" s="685"/>
      <c r="G52" s="263"/>
      <c r="L52" s="161"/>
      <c r="M52" s="124"/>
    </row>
    <row r="53" spans="1:13" s="9" customFormat="1" ht="12.75" customHeight="1">
      <c r="B53" s="684"/>
      <c r="C53" s="685"/>
      <c r="D53" s="263"/>
      <c r="E53" s="684"/>
      <c r="F53" s="685"/>
      <c r="G53" s="263"/>
      <c r="L53" s="161"/>
      <c r="M53" s="124"/>
    </row>
    <row r="54" spans="1:13" s="9" customFormat="1" ht="12.75" customHeight="1">
      <c r="B54" s="684"/>
      <c r="C54" s="685"/>
      <c r="D54" s="263"/>
      <c r="E54" s="684"/>
      <c r="F54" s="685"/>
      <c r="G54" s="263"/>
      <c r="L54" s="161"/>
      <c r="M54" s="124"/>
    </row>
    <row r="55" spans="1:13" s="9" customFormat="1" ht="12.75" customHeight="1">
      <c r="B55" s="684"/>
      <c r="C55" s="685"/>
      <c r="D55" s="263"/>
      <c r="E55" s="684"/>
      <c r="F55" s="685"/>
      <c r="G55" s="263"/>
      <c r="L55" s="161"/>
      <c r="M55" s="124"/>
    </row>
    <row r="56" spans="1:13" s="9" customFormat="1" ht="12.75" customHeight="1">
      <c r="B56" s="684"/>
      <c r="C56" s="685"/>
      <c r="D56" s="263"/>
      <c r="E56" s="684"/>
      <c r="F56" s="685"/>
      <c r="G56" s="263"/>
      <c r="L56" s="161"/>
      <c r="M56" s="124"/>
    </row>
    <row r="57" spans="1:13" s="9" customFormat="1" ht="12.75" customHeight="1">
      <c r="B57" s="684"/>
      <c r="C57" s="685"/>
      <c r="D57" s="263"/>
      <c r="E57" s="684"/>
      <c r="F57" s="685"/>
      <c r="G57" s="263"/>
      <c r="L57" s="161"/>
      <c r="M57" s="124"/>
    </row>
    <row r="58" spans="1:13" s="9" customFormat="1" ht="12.75" customHeight="1">
      <c r="B58" s="684"/>
      <c r="C58" s="685"/>
      <c r="D58" s="263"/>
      <c r="E58" s="684"/>
      <c r="F58" s="685"/>
      <c r="G58" s="263"/>
      <c r="L58" s="161"/>
      <c r="M58" s="124"/>
    </row>
    <row r="59" spans="1:13" s="9" customFormat="1" ht="12.75" customHeight="1">
      <c r="B59" s="684"/>
      <c r="C59" s="685"/>
      <c r="D59" s="263"/>
      <c r="E59" s="684"/>
      <c r="F59" s="685"/>
      <c r="G59" s="263"/>
      <c r="L59" s="161"/>
      <c r="M59" s="124"/>
    </row>
    <row r="60" spans="1:13" s="9" customFormat="1" ht="12.75" customHeight="1">
      <c r="B60" s="684"/>
      <c r="C60" s="685"/>
      <c r="D60" s="263"/>
      <c r="E60" s="684"/>
      <c r="F60" s="685"/>
      <c r="G60" s="263"/>
      <c r="L60" s="161"/>
      <c r="M60" s="124"/>
    </row>
    <row r="61" spans="1:13" s="9" customFormat="1" ht="15" customHeight="1">
      <c r="A61" s="3"/>
      <c r="B61" s="27" t="str">
        <f>+Textes!A83</f>
        <v>Total Zufuhr</v>
      </c>
      <c r="C61" s="270">
        <f>IF(SUM(C6:C60)=0,0,SUM(C6:C60))</f>
        <v>0</v>
      </c>
      <c r="D61" s="271">
        <f>IF(SUM(D6:D60)=0,0,SUM(D6:D60))</f>
        <v>0</v>
      </c>
      <c r="E61" s="27" t="str">
        <f>+Textes!A83</f>
        <v>Total Zufuhr</v>
      </c>
      <c r="F61" s="270">
        <f>IF(SUM(F6:F60)=0,0,SUM(F6:F60))</f>
        <v>0</v>
      </c>
      <c r="G61" s="271">
        <f>IF(SUM(G6:G60)=0,0,SUM(G6:G60))</f>
        <v>0</v>
      </c>
      <c r="H61" s="3"/>
      <c r="I61" s="3"/>
      <c r="L61" s="161"/>
      <c r="M61" s="124"/>
    </row>
    <row r="62" spans="1:13" s="9" customFormat="1" ht="15" customHeight="1">
      <c r="A62" s="3"/>
      <c r="B62" s="6"/>
      <c r="C62" s="3"/>
      <c r="D62" s="21"/>
      <c r="E62" s="6"/>
      <c r="F62" s="21"/>
      <c r="G62" s="21"/>
      <c r="H62" s="3"/>
      <c r="I62" s="3"/>
      <c r="L62" s="161"/>
      <c r="M62" s="124"/>
    </row>
    <row r="63" spans="1:13" s="3" customFormat="1" ht="20.25">
      <c r="A63" s="65"/>
      <c r="B63" s="29" t="str">
        <f>+Textes!A70</f>
        <v>Kantonale Kontrollstelle, Datum:</v>
      </c>
      <c r="C63" s="30"/>
      <c r="D63" s="30"/>
      <c r="E63" s="30" t="str">
        <f>+Textes!A85</f>
        <v>Unterschrift:</v>
      </c>
      <c r="F63" s="30"/>
      <c r="G63" s="31"/>
      <c r="L63" s="161"/>
      <c r="M63" s="124"/>
    </row>
    <row r="64" spans="1:13" s="3" customFormat="1" ht="4.5" customHeight="1">
      <c r="A64" s="1"/>
      <c r="B64" s="1"/>
      <c r="C64" s="1"/>
      <c r="D64" s="1"/>
      <c r="E64" s="127"/>
      <c r="F64" s="1"/>
      <c r="G64" s="1"/>
      <c r="L64" s="161"/>
      <c r="M64" s="124"/>
    </row>
    <row r="65" spans="1:13" s="65" customFormat="1" ht="21" customHeight="1">
      <c r="A65" s="1"/>
      <c r="B65" s="29" t="str">
        <f>+Textes!A74</f>
        <v>Betriebsleiter, Datum:</v>
      </c>
      <c r="C65" s="30"/>
      <c r="D65" s="30"/>
      <c r="E65" s="30" t="str">
        <f>+Textes!A85</f>
        <v>Unterschrift:</v>
      </c>
      <c r="F65" s="30"/>
      <c r="G65" s="31"/>
      <c r="H65" s="1"/>
      <c r="I65" s="1"/>
      <c r="L65" s="161"/>
      <c r="M65" s="124"/>
    </row>
    <row r="66" spans="1:13" ht="6" customHeight="1">
      <c r="F66" s="10"/>
      <c r="G66" s="10"/>
      <c r="L66" s="163"/>
      <c r="M66" s="165"/>
    </row>
    <row r="67" spans="1:13" ht="21" customHeight="1">
      <c r="F67" s="10"/>
      <c r="G67" s="10"/>
      <c r="L67" s="163"/>
      <c r="M67" s="165"/>
    </row>
    <row r="68" spans="1:13" ht="5.25" customHeight="1">
      <c r="F68" s="10"/>
      <c r="G68" s="10"/>
      <c r="L68" s="164"/>
      <c r="M68" s="166"/>
    </row>
    <row r="69" spans="1:13" ht="15" customHeight="1"/>
  </sheetData>
  <sheetProtection password="8C69" sheet="1" scenarios="1"/>
  <phoneticPr fontId="28" type="noConversion"/>
  <pageMargins left="0.59055118110236227" right="0.39370078740157483" top="0.39370078740157483" bottom="0.32" header="0.11811023622047245" footer="0.11811023622047245"/>
  <pageSetup paperSize="9" scale="93" orientation="portrait" r:id="rId1"/>
  <headerFooter alignWithMargins="0">
    <oddFooter>&amp;C&amp;9&amp;F&amp;L&amp;"Arial,Fett"&amp;11AGRIDEA &amp;"Arial,Standard"&amp;9Impex, Version 2.6&amp;R&amp;"Arial,Standard"&amp;9&amp;D / Seite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P69"/>
  <sheetViews>
    <sheetView showGridLines="0" showRowColHeaders="0" showZeros="0" workbookViewId="0">
      <selection activeCell="B7" sqref="B7"/>
    </sheetView>
  </sheetViews>
  <sheetFormatPr baseColWidth="10" defaultColWidth="11.42578125" defaultRowHeight="12.75"/>
  <cols>
    <col min="1" max="1" width="1.42578125" style="1" customWidth="1"/>
    <col min="2" max="7" width="15.5703125" style="1" customWidth="1"/>
    <col min="8" max="8" width="2.85546875" style="1" customWidth="1"/>
    <col min="9" max="9" width="4.85546875" style="1" customWidth="1"/>
    <col min="10" max="11" width="16.5703125" style="1" customWidth="1"/>
    <col min="12" max="12" width="11.42578125" style="162"/>
    <col min="13" max="13" width="11.42578125" style="58"/>
    <col min="14" max="16384" width="11.42578125" style="1"/>
  </cols>
  <sheetData>
    <row r="1" spans="2:16" ht="39" customHeight="1">
      <c r="B1" s="185"/>
      <c r="C1" s="185"/>
      <c r="D1" s="186" t="str">
        <f>+Inv!E1</f>
        <v>Impex:   Mastpoulets</v>
      </c>
      <c r="E1" s="185"/>
      <c r="F1" s="185"/>
      <c r="G1" s="187" t="str">
        <f>"A1d: "&amp;Textes!A76</f>
        <v xml:space="preserve">A1d: Tiereingang </v>
      </c>
    </row>
    <row r="2" spans="2:16">
      <c r="B2" s="679" t="str">
        <f>Inv!C4&amp;IF(Inv!D4=0,"",Inv!D4)</f>
        <v xml:space="preserve">Betriebs-Nr:    </v>
      </c>
      <c r="C2" s="191"/>
      <c r="D2" s="680"/>
      <c r="E2" s="679" t="str">
        <f>Inv!C5&amp;IF(Inv!D5=0,"",Inv!D6&amp;" "&amp;Inv!D5)</f>
        <v xml:space="preserve">Name:    </v>
      </c>
      <c r="O2" s="6"/>
      <c r="P2" s="6"/>
    </row>
    <row r="3" spans="2:16" s="6" customFormat="1" ht="10.5" customHeight="1">
      <c r="B3" s="102"/>
    </row>
    <row r="4" spans="2:16" ht="15">
      <c r="B4" s="176"/>
      <c r="C4" s="177" t="str">
        <f>IF(Textes!G2=1,Textes!A77,Textes!A79)</f>
        <v>Zufuhr Tiere</v>
      </c>
      <c r="D4" s="123"/>
      <c r="E4" s="176"/>
      <c r="F4" s="177" t="str">
        <f>IF(Textes!G2=1,Textes!A78,"")</f>
        <v/>
      </c>
      <c r="G4" s="123"/>
    </row>
    <row r="5" spans="2:16" ht="14.25">
      <c r="B5" s="119" t="str">
        <f>+Textes!A80</f>
        <v>Datum</v>
      </c>
      <c r="C5" s="120" t="str">
        <f>+Textes!A81</f>
        <v>Stück</v>
      </c>
      <c r="D5" s="122" t="str">
        <f>+Textes!A82</f>
        <v>kg LG total</v>
      </c>
      <c r="E5" s="119" t="str">
        <f>IF(Textes!G2=1,B5,"")</f>
        <v/>
      </c>
      <c r="F5" s="121" t="str">
        <f>IF(Textes!G2=1,C5,"")</f>
        <v/>
      </c>
      <c r="G5" s="122" t="str">
        <f>IF(Textes!G2=1,D5,"")</f>
        <v/>
      </c>
    </row>
    <row r="6" spans="2:16" s="9" customFormat="1" ht="12.75" hidden="1" customHeight="1">
      <c r="B6" s="684"/>
      <c r="C6" s="685"/>
      <c r="D6" s="263"/>
      <c r="E6" s="684"/>
      <c r="F6" s="685"/>
      <c r="G6" s="263"/>
    </row>
    <row r="7" spans="2:16" s="9" customFormat="1" ht="12.75" customHeight="1">
      <c r="B7" s="684"/>
      <c r="C7" s="685"/>
      <c r="D7" s="263"/>
      <c r="E7" s="684"/>
      <c r="F7" s="685"/>
      <c r="G7" s="263"/>
    </row>
    <row r="8" spans="2:16" s="9" customFormat="1" ht="12.75" customHeight="1">
      <c r="B8" s="684"/>
      <c r="C8" s="685"/>
      <c r="D8" s="263"/>
      <c r="E8" s="684"/>
      <c r="F8" s="685"/>
      <c r="G8" s="263"/>
    </row>
    <row r="9" spans="2:16" s="9" customFormat="1" ht="12.75" customHeight="1">
      <c r="B9" s="684"/>
      <c r="C9" s="685"/>
      <c r="D9" s="263"/>
      <c r="E9" s="684"/>
      <c r="F9" s="685"/>
      <c r="G9" s="263"/>
    </row>
    <row r="10" spans="2:16" s="9" customFormat="1" ht="12.75" customHeight="1">
      <c r="B10" s="684"/>
      <c r="C10" s="685"/>
      <c r="D10" s="263"/>
      <c r="E10" s="684"/>
      <c r="F10" s="685"/>
      <c r="G10" s="263"/>
    </row>
    <row r="11" spans="2:16" s="9" customFormat="1" ht="12.75" customHeight="1">
      <c r="B11" s="684"/>
      <c r="C11" s="685"/>
      <c r="D11" s="263"/>
      <c r="E11" s="684"/>
      <c r="F11" s="685"/>
      <c r="G11" s="263"/>
    </row>
    <row r="12" spans="2:16" s="9" customFormat="1" ht="12.75" customHeight="1">
      <c r="B12" s="684"/>
      <c r="C12" s="685"/>
      <c r="D12" s="263"/>
      <c r="E12" s="684"/>
      <c r="F12" s="685"/>
      <c r="G12" s="263"/>
    </row>
    <row r="13" spans="2:16" s="9" customFormat="1" ht="12.75" customHeight="1">
      <c r="B13" s="684"/>
      <c r="C13" s="685"/>
      <c r="D13" s="263"/>
      <c r="E13" s="684"/>
      <c r="F13" s="685"/>
      <c r="G13" s="263"/>
    </row>
    <row r="14" spans="2:16" s="9" customFormat="1" ht="12.75" customHeight="1">
      <c r="B14" s="684"/>
      <c r="C14" s="685"/>
      <c r="D14" s="263"/>
      <c r="E14" s="684"/>
      <c r="F14" s="685"/>
      <c r="G14" s="263"/>
      <c r="L14" s="161"/>
      <c r="M14" s="124"/>
    </row>
    <row r="15" spans="2:16" s="9" customFormat="1" ht="12.75" customHeight="1">
      <c r="B15" s="684"/>
      <c r="C15" s="685"/>
      <c r="D15" s="263"/>
      <c r="E15" s="684"/>
      <c r="F15" s="685"/>
      <c r="G15" s="263"/>
      <c r="L15" s="161"/>
      <c r="M15" s="124"/>
    </row>
    <row r="16" spans="2:16" s="9" customFormat="1" ht="12.75" customHeight="1">
      <c r="B16" s="684"/>
      <c r="C16" s="685"/>
      <c r="D16" s="263"/>
      <c r="E16" s="684"/>
      <c r="F16" s="685"/>
      <c r="G16" s="263"/>
      <c r="L16" s="161"/>
      <c r="M16" s="124"/>
    </row>
    <row r="17" spans="2:13" s="9" customFormat="1" ht="12.75" customHeight="1">
      <c r="B17" s="684"/>
      <c r="C17" s="685"/>
      <c r="D17" s="263"/>
      <c r="E17" s="684"/>
      <c r="F17" s="685"/>
      <c r="G17" s="263"/>
      <c r="L17" s="161"/>
      <c r="M17" s="124"/>
    </row>
    <row r="18" spans="2:13" s="9" customFormat="1" ht="12.75" customHeight="1">
      <c r="B18" s="684"/>
      <c r="C18" s="685"/>
      <c r="D18" s="263"/>
      <c r="E18" s="684"/>
      <c r="F18" s="685"/>
      <c r="G18" s="263"/>
      <c r="L18" s="161"/>
      <c r="M18" s="124"/>
    </row>
    <row r="19" spans="2:13" s="9" customFormat="1" ht="12.75" customHeight="1">
      <c r="B19" s="684"/>
      <c r="C19" s="685"/>
      <c r="D19" s="263"/>
      <c r="E19" s="684"/>
      <c r="F19" s="685"/>
      <c r="G19" s="263"/>
      <c r="L19" s="161"/>
      <c r="M19" s="124"/>
    </row>
    <row r="20" spans="2:13" s="9" customFormat="1" ht="12.75" customHeight="1">
      <c r="B20" s="684"/>
      <c r="C20" s="685"/>
      <c r="D20" s="263"/>
      <c r="E20" s="684"/>
      <c r="F20" s="685"/>
      <c r="G20" s="263"/>
      <c r="L20" s="161"/>
      <c r="M20" s="124"/>
    </row>
    <row r="21" spans="2:13" s="9" customFormat="1" ht="12.75" customHeight="1">
      <c r="B21" s="684"/>
      <c r="C21" s="685"/>
      <c r="D21" s="263"/>
      <c r="E21" s="684"/>
      <c r="F21" s="685"/>
      <c r="G21" s="263"/>
      <c r="L21" s="161"/>
      <c r="M21" s="124"/>
    </row>
    <row r="22" spans="2:13" s="9" customFormat="1" ht="12.75" customHeight="1">
      <c r="B22" s="684"/>
      <c r="C22" s="685"/>
      <c r="D22" s="263"/>
      <c r="E22" s="684"/>
      <c r="F22" s="685"/>
      <c r="G22" s="263"/>
      <c r="L22" s="161"/>
      <c r="M22" s="124"/>
    </row>
    <row r="23" spans="2:13" s="9" customFormat="1" ht="12.75" customHeight="1">
      <c r="B23" s="684"/>
      <c r="C23" s="685"/>
      <c r="D23" s="263"/>
      <c r="E23" s="684"/>
      <c r="F23" s="685"/>
      <c r="G23" s="263"/>
      <c r="L23" s="161"/>
      <c r="M23" s="124"/>
    </row>
    <row r="24" spans="2:13" s="9" customFormat="1" ht="12.75" customHeight="1">
      <c r="B24" s="684"/>
      <c r="C24" s="685"/>
      <c r="D24" s="263"/>
      <c r="E24" s="684"/>
      <c r="F24" s="685"/>
      <c r="G24" s="263"/>
      <c r="L24" s="161"/>
      <c r="M24" s="124"/>
    </row>
    <row r="25" spans="2:13" s="9" customFormat="1" ht="12.75" customHeight="1">
      <c r="B25" s="684"/>
      <c r="C25" s="685"/>
      <c r="D25" s="263"/>
      <c r="E25" s="684"/>
      <c r="F25" s="685"/>
      <c r="G25" s="263"/>
      <c r="L25" s="161"/>
      <c r="M25" s="124"/>
    </row>
    <row r="26" spans="2:13" s="9" customFormat="1" ht="12.75" customHeight="1">
      <c r="B26" s="684"/>
      <c r="C26" s="685"/>
      <c r="D26" s="263"/>
      <c r="E26" s="684"/>
      <c r="F26" s="685"/>
      <c r="G26" s="263"/>
      <c r="L26" s="161"/>
      <c r="M26" s="124"/>
    </row>
    <row r="27" spans="2:13" s="9" customFormat="1" ht="12.75" customHeight="1">
      <c r="B27" s="684"/>
      <c r="C27" s="685"/>
      <c r="D27" s="263"/>
      <c r="E27" s="684"/>
      <c r="F27" s="685"/>
      <c r="G27" s="263"/>
      <c r="L27" s="161"/>
      <c r="M27" s="124"/>
    </row>
    <row r="28" spans="2:13" s="9" customFormat="1" ht="12.75" customHeight="1">
      <c r="B28" s="684"/>
      <c r="C28" s="685"/>
      <c r="D28" s="263"/>
      <c r="E28" s="684"/>
      <c r="F28" s="685"/>
      <c r="G28" s="263"/>
      <c r="L28" s="161"/>
      <c r="M28" s="124"/>
    </row>
    <row r="29" spans="2:13" s="9" customFormat="1" ht="12.75" customHeight="1">
      <c r="B29" s="684"/>
      <c r="C29" s="685"/>
      <c r="D29" s="263"/>
      <c r="E29" s="684"/>
      <c r="F29" s="685"/>
      <c r="G29" s="263"/>
      <c r="L29" s="161"/>
      <c r="M29" s="124"/>
    </row>
    <row r="30" spans="2:13" s="9" customFormat="1" ht="12.75" customHeight="1">
      <c r="B30" s="684"/>
      <c r="C30" s="685"/>
      <c r="D30" s="263"/>
      <c r="E30" s="684"/>
      <c r="F30" s="685"/>
      <c r="G30" s="263"/>
      <c r="L30" s="161"/>
      <c r="M30" s="124"/>
    </row>
    <row r="31" spans="2:13" s="9" customFormat="1" ht="12.75" customHeight="1">
      <c r="B31" s="684"/>
      <c r="C31" s="685"/>
      <c r="D31" s="263"/>
      <c r="E31" s="684"/>
      <c r="F31" s="685"/>
      <c r="G31" s="263"/>
      <c r="L31" s="161"/>
      <c r="M31" s="124"/>
    </row>
    <row r="32" spans="2:13" s="9" customFormat="1" ht="12.75" customHeight="1">
      <c r="B32" s="684"/>
      <c r="C32" s="685"/>
      <c r="D32" s="263"/>
      <c r="E32" s="684"/>
      <c r="F32" s="685"/>
      <c r="G32" s="263"/>
      <c r="L32" s="161"/>
      <c r="M32" s="124"/>
    </row>
    <row r="33" spans="2:13" s="9" customFormat="1" ht="12.75" customHeight="1">
      <c r="B33" s="684"/>
      <c r="C33" s="685"/>
      <c r="D33" s="263"/>
      <c r="E33" s="684"/>
      <c r="F33" s="685"/>
      <c r="G33" s="263"/>
      <c r="L33" s="161"/>
      <c r="M33" s="124"/>
    </row>
    <row r="34" spans="2:13" s="9" customFormat="1" ht="12.75" customHeight="1">
      <c r="B34" s="684"/>
      <c r="C34" s="685"/>
      <c r="D34" s="263"/>
      <c r="E34" s="684"/>
      <c r="F34" s="685"/>
      <c r="G34" s="263"/>
      <c r="L34" s="161"/>
      <c r="M34" s="124"/>
    </row>
    <row r="35" spans="2:13" s="9" customFormat="1" ht="12.75" customHeight="1">
      <c r="B35" s="684"/>
      <c r="C35" s="685"/>
      <c r="D35" s="263"/>
      <c r="E35" s="684"/>
      <c r="F35" s="685"/>
      <c r="G35" s="263"/>
      <c r="L35" s="161"/>
      <c r="M35" s="124"/>
    </row>
    <row r="36" spans="2:13" s="9" customFormat="1" ht="12.75" customHeight="1">
      <c r="B36" s="684"/>
      <c r="C36" s="685"/>
      <c r="D36" s="263"/>
      <c r="E36" s="684"/>
      <c r="F36" s="685"/>
      <c r="G36" s="263"/>
    </row>
    <row r="37" spans="2:13" s="9" customFormat="1" ht="12.75" customHeight="1">
      <c r="B37" s="684"/>
      <c r="C37" s="685"/>
      <c r="D37" s="263"/>
      <c r="E37" s="684"/>
      <c r="F37" s="685"/>
      <c r="G37" s="263"/>
    </row>
    <row r="38" spans="2:13" s="9" customFormat="1" ht="12.75" customHeight="1">
      <c r="B38" s="684"/>
      <c r="C38" s="685"/>
      <c r="D38" s="263"/>
      <c r="E38" s="684"/>
      <c r="F38" s="685"/>
      <c r="G38" s="263"/>
      <c r="L38" s="161"/>
      <c r="M38" s="124"/>
    </row>
    <row r="39" spans="2:13" s="9" customFormat="1" ht="12.75" customHeight="1">
      <c r="B39" s="684"/>
      <c r="C39" s="685"/>
      <c r="D39" s="263"/>
      <c r="E39" s="684"/>
      <c r="F39" s="685"/>
      <c r="G39" s="263"/>
      <c r="L39" s="161"/>
      <c r="M39" s="124"/>
    </row>
    <row r="40" spans="2:13" s="9" customFormat="1" ht="12.75" customHeight="1">
      <c r="B40" s="684"/>
      <c r="C40" s="685"/>
      <c r="D40" s="263"/>
      <c r="E40" s="684"/>
      <c r="F40" s="685"/>
      <c r="G40" s="263"/>
      <c r="L40" s="161"/>
      <c r="M40" s="124"/>
    </row>
    <row r="41" spans="2:13" s="9" customFormat="1" ht="12.75" customHeight="1">
      <c r="B41" s="684"/>
      <c r="C41" s="685"/>
      <c r="D41" s="263"/>
      <c r="E41" s="684"/>
      <c r="F41" s="685"/>
      <c r="G41" s="263"/>
      <c r="L41" s="161"/>
      <c r="M41" s="124"/>
    </row>
    <row r="42" spans="2:13" s="9" customFormat="1" ht="12.75" customHeight="1">
      <c r="B42" s="684"/>
      <c r="C42" s="685"/>
      <c r="D42" s="263"/>
      <c r="E42" s="684"/>
      <c r="F42" s="685"/>
      <c r="G42" s="263"/>
      <c r="L42" s="161"/>
      <c r="M42" s="124"/>
    </row>
    <row r="43" spans="2:13" s="9" customFormat="1" ht="12.75" customHeight="1">
      <c r="B43" s="684"/>
      <c r="C43" s="685"/>
      <c r="D43" s="263"/>
      <c r="E43" s="684"/>
      <c r="F43" s="685"/>
      <c r="G43" s="263"/>
      <c r="L43" s="161"/>
      <c r="M43" s="124"/>
    </row>
    <row r="44" spans="2:13" s="9" customFormat="1" ht="12.75" customHeight="1">
      <c r="B44" s="684"/>
      <c r="C44" s="685"/>
      <c r="D44" s="263"/>
      <c r="E44" s="684"/>
      <c r="F44" s="685"/>
      <c r="G44" s="263"/>
      <c r="L44" s="161"/>
      <c r="M44" s="124"/>
    </row>
    <row r="45" spans="2:13" s="9" customFormat="1" ht="12.75" customHeight="1">
      <c r="B45" s="684"/>
      <c r="C45" s="685"/>
      <c r="D45" s="263"/>
      <c r="E45" s="684"/>
      <c r="F45" s="685"/>
      <c r="G45" s="263"/>
      <c r="L45" s="161"/>
      <c r="M45" s="124"/>
    </row>
    <row r="46" spans="2:13" s="9" customFormat="1" ht="12.75" customHeight="1">
      <c r="B46" s="684"/>
      <c r="C46" s="685"/>
      <c r="D46" s="263"/>
      <c r="E46" s="684"/>
      <c r="F46" s="685"/>
      <c r="G46" s="263"/>
      <c r="L46" s="161"/>
      <c r="M46" s="124"/>
    </row>
    <row r="47" spans="2:13" s="9" customFormat="1" ht="12.75" customHeight="1">
      <c r="B47" s="684"/>
      <c r="C47" s="685"/>
      <c r="D47" s="263"/>
      <c r="E47" s="684"/>
      <c r="F47" s="685"/>
      <c r="G47" s="263"/>
      <c r="L47" s="161"/>
      <c r="M47" s="124"/>
    </row>
    <row r="48" spans="2:13" s="9" customFormat="1" ht="12.75" customHeight="1">
      <c r="B48" s="684"/>
      <c r="C48" s="685"/>
      <c r="D48" s="263"/>
      <c r="E48" s="684"/>
      <c r="F48" s="685"/>
      <c r="G48" s="263"/>
      <c r="L48" s="161"/>
      <c r="M48" s="124"/>
    </row>
    <row r="49" spans="1:13" s="9" customFormat="1" ht="12.75" customHeight="1">
      <c r="B49" s="684"/>
      <c r="C49" s="685"/>
      <c r="D49" s="263"/>
      <c r="E49" s="684"/>
      <c r="F49" s="685"/>
      <c r="G49" s="263"/>
    </row>
    <row r="50" spans="1:13" s="9" customFormat="1" ht="12.75" customHeight="1">
      <c r="B50" s="684"/>
      <c r="C50" s="685"/>
      <c r="D50" s="263"/>
      <c r="E50" s="684"/>
      <c r="F50" s="685"/>
      <c r="G50" s="263"/>
    </row>
    <row r="51" spans="1:13" s="9" customFormat="1" ht="12.75" customHeight="1">
      <c r="B51" s="684"/>
      <c r="C51" s="685"/>
      <c r="D51" s="263"/>
      <c r="E51" s="684"/>
      <c r="F51" s="685"/>
      <c r="G51" s="263"/>
      <c r="L51" s="161"/>
      <c r="M51" s="124"/>
    </row>
    <row r="52" spans="1:13" s="9" customFormat="1" ht="12.75" customHeight="1">
      <c r="B52" s="684"/>
      <c r="C52" s="685"/>
      <c r="D52" s="263"/>
      <c r="E52" s="684"/>
      <c r="F52" s="685"/>
      <c r="G52" s="263"/>
      <c r="L52" s="161"/>
      <c r="M52" s="124"/>
    </row>
    <row r="53" spans="1:13" s="9" customFormat="1" ht="12.75" customHeight="1">
      <c r="B53" s="684"/>
      <c r="C53" s="685"/>
      <c r="D53" s="263"/>
      <c r="E53" s="684"/>
      <c r="F53" s="685"/>
      <c r="G53" s="263"/>
      <c r="L53" s="161"/>
      <c r="M53" s="124"/>
    </row>
    <row r="54" spans="1:13" s="9" customFormat="1" ht="12.75" customHeight="1">
      <c r="B54" s="684"/>
      <c r="C54" s="685"/>
      <c r="D54" s="263"/>
      <c r="E54" s="684"/>
      <c r="F54" s="685"/>
      <c r="G54" s="263"/>
      <c r="L54" s="161"/>
      <c r="M54" s="124"/>
    </row>
    <row r="55" spans="1:13" s="9" customFormat="1" ht="12.75" customHeight="1">
      <c r="B55" s="684"/>
      <c r="C55" s="685"/>
      <c r="D55" s="263"/>
      <c r="E55" s="684"/>
      <c r="F55" s="685"/>
      <c r="G55" s="263"/>
      <c r="L55" s="161"/>
      <c r="M55" s="124"/>
    </row>
    <row r="56" spans="1:13" s="9" customFormat="1" ht="12.75" customHeight="1">
      <c r="B56" s="684"/>
      <c r="C56" s="685"/>
      <c r="D56" s="263"/>
      <c r="E56" s="684"/>
      <c r="F56" s="685"/>
      <c r="G56" s="263"/>
      <c r="L56" s="161"/>
      <c r="M56" s="124"/>
    </row>
    <row r="57" spans="1:13" s="9" customFormat="1" ht="12.75" customHeight="1">
      <c r="B57" s="684"/>
      <c r="C57" s="685"/>
      <c r="D57" s="263"/>
      <c r="E57" s="684"/>
      <c r="F57" s="685"/>
      <c r="G57" s="263"/>
      <c r="L57" s="161"/>
      <c r="M57" s="124"/>
    </row>
    <row r="58" spans="1:13" s="9" customFormat="1" ht="12.75" customHeight="1">
      <c r="B58" s="684"/>
      <c r="C58" s="685"/>
      <c r="D58" s="263"/>
      <c r="E58" s="684"/>
      <c r="F58" s="685"/>
      <c r="G58" s="263"/>
      <c r="L58" s="161"/>
      <c r="M58" s="124"/>
    </row>
    <row r="59" spans="1:13" s="9" customFormat="1" ht="12.75" customHeight="1">
      <c r="B59" s="684"/>
      <c r="C59" s="685"/>
      <c r="D59" s="263"/>
      <c r="E59" s="684"/>
      <c r="F59" s="685"/>
      <c r="G59" s="263"/>
      <c r="L59" s="161"/>
      <c r="M59" s="124"/>
    </row>
    <row r="60" spans="1:13" s="9" customFormat="1" ht="12.75" customHeight="1">
      <c r="B60" s="684"/>
      <c r="C60" s="685"/>
      <c r="D60" s="263"/>
      <c r="E60" s="684"/>
      <c r="F60" s="685"/>
      <c r="G60" s="263"/>
      <c r="L60" s="161"/>
      <c r="M60" s="124"/>
    </row>
    <row r="61" spans="1:13" s="9" customFormat="1" ht="15" customHeight="1">
      <c r="A61" s="3"/>
      <c r="B61" s="27" t="str">
        <f>+Textes!A83</f>
        <v>Total Zufuhr</v>
      </c>
      <c r="C61" s="270">
        <f>IF(SUM(C6:C60)=0,0,SUM(C6:C60))</f>
        <v>0</v>
      </c>
      <c r="D61" s="271">
        <f>IF(SUM(D6:D60)=0,0,SUM(D6:D60))</f>
        <v>0</v>
      </c>
      <c r="E61" s="27" t="str">
        <f>+Textes!A83</f>
        <v>Total Zufuhr</v>
      </c>
      <c r="F61" s="270">
        <f>IF(SUM(F6:F60)=0,0,SUM(F6:F60))</f>
        <v>0</v>
      </c>
      <c r="G61" s="271">
        <f>IF(SUM(G6:G60)=0,0,SUM(G6:G60))</f>
        <v>0</v>
      </c>
      <c r="H61" s="3"/>
      <c r="I61" s="3"/>
      <c r="L61" s="161"/>
      <c r="M61" s="124"/>
    </row>
    <row r="62" spans="1:13" s="9" customFormat="1" ht="15" customHeight="1">
      <c r="A62" s="3"/>
      <c r="B62" s="6"/>
      <c r="C62" s="3"/>
      <c r="D62" s="21"/>
      <c r="E62" s="6"/>
      <c r="F62" s="21"/>
      <c r="G62" s="21"/>
      <c r="H62" s="3"/>
      <c r="I62" s="3"/>
      <c r="L62" s="161"/>
      <c r="M62" s="124"/>
    </row>
    <row r="63" spans="1:13" s="3" customFormat="1" ht="20.25">
      <c r="A63" s="65"/>
      <c r="B63" s="29" t="str">
        <f>+Textes!A70</f>
        <v>Kantonale Kontrollstelle, Datum:</v>
      </c>
      <c r="C63" s="30"/>
      <c r="D63" s="30"/>
      <c r="E63" s="30" t="str">
        <f>+Textes!A85</f>
        <v>Unterschrift:</v>
      </c>
      <c r="F63" s="30"/>
      <c r="G63" s="31"/>
      <c r="L63" s="161"/>
      <c r="M63" s="124"/>
    </row>
    <row r="64" spans="1:13" s="3" customFormat="1" ht="4.5" customHeight="1">
      <c r="A64" s="1"/>
      <c r="B64" s="1"/>
      <c r="C64" s="1"/>
      <c r="D64" s="1"/>
      <c r="E64" s="127"/>
      <c r="F64" s="1"/>
      <c r="G64" s="1"/>
      <c r="L64" s="161"/>
      <c r="M64" s="124"/>
    </row>
    <row r="65" spans="1:13" s="65" customFormat="1" ht="21" customHeight="1">
      <c r="A65" s="1"/>
      <c r="B65" s="29" t="str">
        <f>+Textes!A74</f>
        <v>Betriebsleiter, Datum:</v>
      </c>
      <c r="C65" s="30"/>
      <c r="D65" s="30"/>
      <c r="E65" s="30" t="str">
        <f>+Textes!A85</f>
        <v>Unterschrift:</v>
      </c>
      <c r="F65" s="30"/>
      <c r="G65" s="31"/>
      <c r="H65" s="1"/>
      <c r="I65" s="1"/>
      <c r="L65" s="161"/>
      <c r="M65" s="124"/>
    </row>
    <row r="66" spans="1:13" ht="6" customHeight="1">
      <c r="F66" s="10"/>
      <c r="G66" s="10"/>
      <c r="L66" s="163"/>
      <c r="M66" s="165"/>
    </row>
    <row r="67" spans="1:13" ht="21" customHeight="1">
      <c r="F67" s="10"/>
      <c r="G67" s="10"/>
      <c r="L67" s="163"/>
      <c r="M67" s="165"/>
    </row>
    <row r="68" spans="1:13" ht="5.25" customHeight="1">
      <c r="F68" s="10"/>
      <c r="G68" s="10"/>
      <c r="L68" s="164"/>
      <c r="M68" s="166"/>
    </row>
    <row r="69" spans="1:13" ht="15" customHeight="1"/>
  </sheetData>
  <sheetProtection password="8C69" sheet="1" scenarios="1"/>
  <phoneticPr fontId="28" type="noConversion"/>
  <pageMargins left="0.59055118110236227" right="0.39370078740157483" top="0.39370078740157483" bottom="0.32" header="0.11811023622047245" footer="0.11811023622047245"/>
  <pageSetup paperSize="9" scale="93" orientation="portrait" r:id="rId1"/>
  <headerFooter alignWithMargins="0">
    <oddFooter>&amp;C&amp;9&amp;F&amp;L&amp;"Arial,Fett"&amp;11AGRIDEA &amp;"Arial,Standard"&amp;9Impex, Version 2.6&amp;R&amp;"Arial,Standard"&amp;9&amp;D / Seite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69"/>
  <sheetViews>
    <sheetView showGridLines="0" showRowColHeaders="0" showZeros="0" workbookViewId="0">
      <selection activeCell="B7" sqref="B7"/>
    </sheetView>
  </sheetViews>
  <sheetFormatPr baseColWidth="10" defaultColWidth="11.42578125" defaultRowHeight="12.75"/>
  <cols>
    <col min="1" max="1" width="1.42578125" style="1" customWidth="1"/>
    <col min="2" max="7" width="15.5703125" style="1" customWidth="1"/>
    <col min="8" max="8" width="2.85546875" style="1" customWidth="1"/>
    <col min="9" max="9" width="4.85546875" style="1" customWidth="1"/>
    <col min="10" max="11" width="16.5703125" style="1" customWidth="1"/>
    <col min="12" max="12" width="11.42578125" style="162"/>
    <col min="13" max="13" width="11.42578125" style="58"/>
    <col min="14" max="16384" width="11.42578125" style="1"/>
  </cols>
  <sheetData>
    <row r="1" spans="2:16" ht="39" customHeight="1">
      <c r="B1" s="185"/>
      <c r="C1" s="185"/>
      <c r="D1" s="186" t="str">
        <f>+Inv!E1</f>
        <v>Impex:   Mastpoulets</v>
      </c>
      <c r="E1" s="185"/>
      <c r="F1" s="185"/>
      <c r="G1" s="187" t="str">
        <f>"A1e: "&amp;Textes!A76</f>
        <v xml:space="preserve">A1e: Tiereingang </v>
      </c>
    </row>
    <row r="2" spans="2:16">
      <c r="B2" s="679" t="str">
        <f>Inv!C4&amp;IF(Inv!D4=0,"",Inv!D4)</f>
        <v xml:space="preserve">Betriebs-Nr:    </v>
      </c>
      <c r="C2" s="191"/>
      <c r="D2" s="680"/>
      <c r="E2" s="679" t="str">
        <f>Inv!C5&amp;IF(Inv!D5=0,"",Inv!D6&amp;" "&amp;Inv!D5)</f>
        <v xml:space="preserve">Name:    </v>
      </c>
    </row>
    <row r="3" spans="2:16" s="6" customFormat="1" ht="10.5" customHeight="1">
      <c r="B3" s="102"/>
      <c r="O3" s="1"/>
      <c r="P3" s="1"/>
    </row>
    <row r="4" spans="2:16" ht="15">
      <c r="B4" s="176"/>
      <c r="C4" s="177" t="str">
        <f>IF(Textes!G2=1,Textes!A77,Textes!A79)</f>
        <v>Zufuhr Tiere</v>
      </c>
      <c r="D4" s="123"/>
      <c r="E4" s="176"/>
      <c r="F4" s="177" t="str">
        <f>IF(Textes!G2=1,Textes!A78,"")</f>
        <v/>
      </c>
      <c r="G4" s="123"/>
    </row>
    <row r="5" spans="2:16" ht="14.25">
      <c r="B5" s="119" t="str">
        <f>+Textes!A80</f>
        <v>Datum</v>
      </c>
      <c r="C5" s="120" t="str">
        <f>+Textes!A81</f>
        <v>Stück</v>
      </c>
      <c r="D5" s="122" t="str">
        <f>+Textes!A82</f>
        <v>kg LG total</v>
      </c>
      <c r="E5" s="119" t="str">
        <f>IF(Textes!G2=1,B5,"")</f>
        <v/>
      </c>
      <c r="F5" s="121" t="str">
        <f>IF(Textes!G2=1,C5,"")</f>
        <v/>
      </c>
      <c r="G5" s="122" t="str">
        <f>IF(Textes!G2=1,D5,"")</f>
        <v/>
      </c>
    </row>
    <row r="6" spans="2:16" s="9" customFormat="1" ht="12.75" hidden="1" customHeight="1">
      <c r="B6" s="684"/>
      <c r="C6" s="685"/>
      <c r="D6" s="263"/>
      <c r="E6" s="684"/>
      <c r="F6" s="685"/>
      <c r="G6" s="263"/>
    </row>
    <row r="7" spans="2:16" s="9" customFormat="1" ht="12.75" customHeight="1">
      <c r="B7" s="684"/>
      <c r="C7" s="685"/>
      <c r="D7" s="263"/>
      <c r="E7" s="684"/>
      <c r="F7" s="685"/>
      <c r="G7" s="263"/>
    </row>
    <row r="8" spans="2:16" s="9" customFormat="1" ht="12.75" customHeight="1">
      <c r="B8" s="684"/>
      <c r="C8" s="685"/>
      <c r="D8" s="263"/>
      <c r="E8" s="684"/>
      <c r="F8" s="685"/>
      <c r="G8" s="263"/>
    </row>
    <row r="9" spans="2:16" s="9" customFormat="1" ht="12.75" customHeight="1">
      <c r="B9" s="684"/>
      <c r="C9" s="685"/>
      <c r="D9" s="263"/>
      <c r="E9" s="684"/>
      <c r="F9" s="685"/>
      <c r="G9" s="263"/>
    </row>
    <row r="10" spans="2:16" s="9" customFormat="1" ht="12.75" customHeight="1">
      <c r="B10" s="684"/>
      <c r="C10" s="685"/>
      <c r="D10" s="263"/>
      <c r="E10" s="684"/>
      <c r="F10" s="685"/>
      <c r="G10" s="263"/>
    </row>
    <row r="11" spans="2:16" s="9" customFormat="1" ht="12.75" customHeight="1">
      <c r="B11" s="684"/>
      <c r="C11" s="685"/>
      <c r="D11" s="263"/>
      <c r="E11" s="684"/>
      <c r="F11" s="685"/>
      <c r="G11" s="263"/>
    </row>
    <row r="12" spans="2:16" s="9" customFormat="1" ht="12.75" customHeight="1">
      <c r="B12" s="684"/>
      <c r="C12" s="685"/>
      <c r="D12" s="263"/>
      <c r="E12" s="684"/>
      <c r="F12" s="685"/>
      <c r="G12" s="263"/>
    </row>
    <row r="13" spans="2:16" s="9" customFormat="1" ht="12.75" customHeight="1">
      <c r="B13" s="684"/>
      <c r="C13" s="685"/>
      <c r="D13" s="263"/>
      <c r="E13" s="684"/>
      <c r="F13" s="685"/>
      <c r="G13" s="263"/>
    </row>
    <row r="14" spans="2:16" s="9" customFormat="1" ht="12.75" customHeight="1">
      <c r="B14" s="684"/>
      <c r="C14" s="685"/>
      <c r="D14" s="263"/>
      <c r="E14" s="684"/>
      <c r="F14" s="685"/>
      <c r="G14" s="263"/>
      <c r="L14" s="161"/>
      <c r="M14" s="124"/>
    </row>
    <row r="15" spans="2:16" s="9" customFormat="1" ht="12.75" customHeight="1">
      <c r="B15" s="684"/>
      <c r="C15" s="685"/>
      <c r="D15" s="263"/>
      <c r="E15" s="684"/>
      <c r="F15" s="685"/>
      <c r="G15" s="263"/>
      <c r="L15" s="161"/>
      <c r="M15" s="124"/>
    </row>
    <row r="16" spans="2:16" s="9" customFormat="1" ht="12.75" customHeight="1">
      <c r="B16" s="684"/>
      <c r="C16" s="685"/>
      <c r="D16" s="263"/>
      <c r="E16" s="684"/>
      <c r="F16" s="685"/>
      <c r="G16" s="263"/>
      <c r="L16" s="161"/>
      <c r="M16" s="124"/>
    </row>
    <row r="17" spans="2:13" s="9" customFormat="1" ht="12.75" customHeight="1">
      <c r="B17" s="684"/>
      <c r="C17" s="685"/>
      <c r="D17" s="263"/>
      <c r="E17" s="684"/>
      <c r="F17" s="685"/>
      <c r="G17" s="263"/>
      <c r="L17" s="161"/>
      <c r="M17" s="124"/>
    </row>
    <row r="18" spans="2:13" s="9" customFormat="1" ht="12.75" customHeight="1">
      <c r="B18" s="684"/>
      <c r="C18" s="685"/>
      <c r="D18" s="263"/>
      <c r="E18" s="684"/>
      <c r="F18" s="685"/>
      <c r="G18" s="263"/>
      <c r="L18" s="161"/>
      <c r="M18" s="124"/>
    </row>
    <row r="19" spans="2:13" s="9" customFormat="1" ht="12.75" customHeight="1">
      <c r="B19" s="684"/>
      <c r="C19" s="685"/>
      <c r="D19" s="263"/>
      <c r="E19" s="684"/>
      <c r="F19" s="685"/>
      <c r="G19" s="263"/>
      <c r="L19" s="161"/>
      <c r="M19" s="124"/>
    </row>
    <row r="20" spans="2:13" s="9" customFormat="1" ht="12.75" customHeight="1">
      <c r="B20" s="684"/>
      <c r="C20" s="685"/>
      <c r="D20" s="263"/>
      <c r="E20" s="684"/>
      <c r="F20" s="685"/>
      <c r="G20" s="263"/>
      <c r="L20" s="161"/>
      <c r="M20" s="124"/>
    </row>
    <row r="21" spans="2:13" s="9" customFormat="1" ht="12.75" customHeight="1">
      <c r="B21" s="684"/>
      <c r="C21" s="685"/>
      <c r="D21" s="263"/>
      <c r="E21" s="684"/>
      <c r="F21" s="685"/>
      <c r="G21" s="263"/>
      <c r="L21" s="161"/>
      <c r="M21" s="124"/>
    </row>
    <row r="22" spans="2:13" s="9" customFormat="1" ht="12.75" customHeight="1">
      <c r="B22" s="684"/>
      <c r="C22" s="685"/>
      <c r="D22" s="263"/>
      <c r="E22" s="684"/>
      <c r="F22" s="685"/>
      <c r="G22" s="263"/>
      <c r="L22" s="161"/>
      <c r="M22" s="124"/>
    </row>
    <row r="23" spans="2:13" s="9" customFormat="1" ht="12.75" customHeight="1">
      <c r="B23" s="684"/>
      <c r="C23" s="685"/>
      <c r="D23" s="263"/>
      <c r="E23" s="684"/>
      <c r="F23" s="685"/>
      <c r="G23" s="263"/>
      <c r="L23" s="161"/>
      <c r="M23" s="124"/>
    </row>
    <row r="24" spans="2:13" s="9" customFormat="1" ht="12.75" customHeight="1">
      <c r="B24" s="684"/>
      <c r="C24" s="685"/>
      <c r="D24" s="263"/>
      <c r="E24" s="684"/>
      <c r="F24" s="685"/>
      <c r="G24" s="263"/>
      <c r="L24" s="161"/>
      <c r="M24" s="124"/>
    </row>
    <row r="25" spans="2:13" s="9" customFormat="1" ht="12.75" customHeight="1">
      <c r="B25" s="684"/>
      <c r="C25" s="685"/>
      <c r="D25" s="263"/>
      <c r="E25" s="684"/>
      <c r="F25" s="685"/>
      <c r="G25" s="263"/>
      <c r="L25" s="161"/>
      <c r="M25" s="124"/>
    </row>
    <row r="26" spans="2:13" s="9" customFormat="1" ht="12.75" customHeight="1">
      <c r="B26" s="684"/>
      <c r="C26" s="685"/>
      <c r="D26" s="263"/>
      <c r="E26" s="684"/>
      <c r="F26" s="685"/>
      <c r="G26" s="263"/>
      <c r="L26" s="161"/>
      <c r="M26" s="124"/>
    </row>
    <row r="27" spans="2:13" s="9" customFormat="1" ht="12.75" customHeight="1">
      <c r="B27" s="684"/>
      <c r="C27" s="685"/>
      <c r="D27" s="263"/>
      <c r="E27" s="684"/>
      <c r="F27" s="685"/>
      <c r="G27" s="263"/>
      <c r="L27" s="161"/>
      <c r="M27" s="124"/>
    </row>
    <row r="28" spans="2:13" s="9" customFormat="1" ht="12.75" customHeight="1">
      <c r="B28" s="684"/>
      <c r="C28" s="685"/>
      <c r="D28" s="263"/>
      <c r="E28" s="684"/>
      <c r="F28" s="685"/>
      <c r="G28" s="263"/>
      <c r="L28" s="161"/>
      <c r="M28" s="124"/>
    </row>
    <row r="29" spans="2:13" s="9" customFormat="1" ht="12.75" customHeight="1">
      <c r="B29" s="684"/>
      <c r="C29" s="685"/>
      <c r="D29" s="263"/>
      <c r="E29" s="684"/>
      <c r="F29" s="685"/>
      <c r="G29" s="263"/>
      <c r="L29" s="161"/>
      <c r="M29" s="124"/>
    </row>
    <row r="30" spans="2:13" s="9" customFormat="1" ht="12.75" customHeight="1">
      <c r="B30" s="684"/>
      <c r="C30" s="685"/>
      <c r="D30" s="263"/>
      <c r="E30" s="684"/>
      <c r="F30" s="685"/>
      <c r="G30" s="263"/>
      <c r="L30" s="161"/>
      <c r="M30" s="124"/>
    </row>
    <row r="31" spans="2:13" s="9" customFormat="1" ht="12.75" customHeight="1">
      <c r="B31" s="684"/>
      <c r="C31" s="685"/>
      <c r="D31" s="263"/>
      <c r="E31" s="684"/>
      <c r="F31" s="685"/>
      <c r="G31" s="263"/>
      <c r="L31" s="161"/>
      <c r="M31" s="124"/>
    </row>
    <row r="32" spans="2:13" s="9" customFormat="1" ht="12.75" customHeight="1">
      <c r="B32" s="684"/>
      <c r="C32" s="685"/>
      <c r="D32" s="263"/>
      <c r="E32" s="684"/>
      <c r="F32" s="685"/>
      <c r="G32" s="263"/>
      <c r="L32" s="161"/>
      <c r="M32" s="124"/>
    </row>
    <row r="33" spans="2:13" s="9" customFormat="1" ht="12.75" customHeight="1">
      <c r="B33" s="684"/>
      <c r="C33" s="685"/>
      <c r="D33" s="263"/>
      <c r="E33" s="684"/>
      <c r="F33" s="685"/>
      <c r="G33" s="263"/>
      <c r="L33" s="161"/>
      <c r="M33" s="124"/>
    </row>
    <row r="34" spans="2:13" s="9" customFormat="1" ht="12.75" customHeight="1">
      <c r="B34" s="684"/>
      <c r="C34" s="685"/>
      <c r="D34" s="263"/>
      <c r="E34" s="684"/>
      <c r="F34" s="685"/>
      <c r="G34" s="263"/>
      <c r="L34" s="161"/>
      <c r="M34" s="124"/>
    </row>
    <row r="35" spans="2:13" s="9" customFormat="1" ht="12.75" customHeight="1">
      <c r="B35" s="684"/>
      <c r="C35" s="685"/>
      <c r="D35" s="263"/>
      <c r="E35" s="684"/>
      <c r="F35" s="685"/>
      <c r="G35" s="263"/>
      <c r="L35" s="161"/>
      <c r="M35" s="124"/>
    </row>
    <row r="36" spans="2:13" s="9" customFormat="1" ht="12.75" customHeight="1">
      <c r="B36" s="684"/>
      <c r="C36" s="685"/>
      <c r="D36" s="263"/>
      <c r="E36" s="684"/>
      <c r="F36" s="685"/>
      <c r="G36" s="263"/>
    </row>
    <row r="37" spans="2:13" s="9" customFormat="1" ht="12.75" customHeight="1">
      <c r="B37" s="684"/>
      <c r="C37" s="685"/>
      <c r="D37" s="263"/>
      <c r="E37" s="684"/>
      <c r="F37" s="685"/>
      <c r="G37" s="263"/>
    </row>
    <row r="38" spans="2:13" s="9" customFormat="1" ht="12.75" customHeight="1">
      <c r="B38" s="684"/>
      <c r="C38" s="685"/>
      <c r="D38" s="263"/>
      <c r="E38" s="684"/>
      <c r="F38" s="685"/>
      <c r="G38" s="263"/>
      <c r="L38" s="161"/>
      <c r="M38" s="124"/>
    </row>
    <row r="39" spans="2:13" s="9" customFormat="1" ht="12.75" customHeight="1">
      <c r="B39" s="684"/>
      <c r="C39" s="685"/>
      <c r="D39" s="263"/>
      <c r="E39" s="684"/>
      <c r="F39" s="685"/>
      <c r="G39" s="263"/>
      <c r="L39" s="161"/>
      <c r="M39" s="124"/>
    </row>
    <row r="40" spans="2:13" s="9" customFormat="1" ht="12.75" customHeight="1">
      <c r="B40" s="684"/>
      <c r="C40" s="685"/>
      <c r="D40" s="263"/>
      <c r="E40" s="684"/>
      <c r="F40" s="685"/>
      <c r="G40" s="263"/>
      <c r="L40" s="161"/>
      <c r="M40" s="124"/>
    </row>
    <row r="41" spans="2:13" s="9" customFormat="1" ht="12.75" customHeight="1">
      <c r="B41" s="684"/>
      <c r="C41" s="685"/>
      <c r="D41" s="263"/>
      <c r="E41" s="684"/>
      <c r="F41" s="685"/>
      <c r="G41" s="263"/>
      <c r="L41" s="161"/>
      <c r="M41" s="124"/>
    </row>
    <row r="42" spans="2:13" s="9" customFormat="1" ht="12.75" customHeight="1">
      <c r="B42" s="684"/>
      <c r="C42" s="685"/>
      <c r="D42" s="263"/>
      <c r="E42" s="684"/>
      <c r="F42" s="685"/>
      <c r="G42" s="263"/>
      <c r="L42" s="161"/>
      <c r="M42" s="124"/>
    </row>
    <row r="43" spans="2:13" s="9" customFormat="1" ht="12.75" customHeight="1">
      <c r="B43" s="684"/>
      <c r="C43" s="685"/>
      <c r="D43" s="263"/>
      <c r="E43" s="684"/>
      <c r="F43" s="685"/>
      <c r="G43" s="263"/>
      <c r="L43" s="161"/>
      <c r="M43" s="124"/>
    </row>
    <row r="44" spans="2:13" s="9" customFormat="1" ht="12.75" customHeight="1">
      <c r="B44" s="684"/>
      <c r="C44" s="685"/>
      <c r="D44" s="263"/>
      <c r="E44" s="684"/>
      <c r="F44" s="685"/>
      <c r="G44" s="263"/>
      <c r="L44" s="161"/>
      <c r="M44" s="124"/>
    </row>
    <row r="45" spans="2:13" s="9" customFormat="1" ht="12.75" customHeight="1">
      <c r="B45" s="684"/>
      <c r="C45" s="685"/>
      <c r="D45" s="263"/>
      <c r="E45" s="684"/>
      <c r="F45" s="685"/>
      <c r="G45" s="263"/>
      <c r="L45" s="161"/>
      <c r="M45" s="124"/>
    </row>
    <row r="46" spans="2:13" s="9" customFormat="1" ht="12.75" customHeight="1">
      <c r="B46" s="684"/>
      <c r="C46" s="685"/>
      <c r="D46" s="263"/>
      <c r="E46" s="684"/>
      <c r="F46" s="685"/>
      <c r="G46" s="263"/>
      <c r="L46" s="161"/>
      <c r="M46" s="124"/>
    </row>
    <row r="47" spans="2:13" s="9" customFormat="1" ht="12.75" customHeight="1">
      <c r="B47" s="684"/>
      <c r="C47" s="685"/>
      <c r="D47" s="263"/>
      <c r="E47" s="684"/>
      <c r="F47" s="685"/>
      <c r="G47" s="263"/>
      <c r="L47" s="161"/>
      <c r="M47" s="124"/>
    </row>
    <row r="48" spans="2:13" s="9" customFormat="1" ht="12.75" customHeight="1">
      <c r="B48" s="684"/>
      <c r="C48" s="685"/>
      <c r="D48" s="263"/>
      <c r="E48" s="684"/>
      <c r="F48" s="685"/>
      <c r="G48" s="263"/>
      <c r="L48" s="161"/>
      <c r="M48" s="124"/>
    </row>
    <row r="49" spans="1:13" s="9" customFormat="1" ht="12.75" customHeight="1">
      <c r="B49" s="684"/>
      <c r="C49" s="685"/>
      <c r="D49" s="263"/>
      <c r="E49" s="684"/>
      <c r="F49" s="685"/>
      <c r="G49" s="263"/>
    </row>
    <row r="50" spans="1:13" s="9" customFormat="1" ht="12.75" customHeight="1">
      <c r="B50" s="684"/>
      <c r="C50" s="685"/>
      <c r="D50" s="263"/>
      <c r="E50" s="684"/>
      <c r="F50" s="685"/>
      <c r="G50" s="263"/>
    </row>
    <row r="51" spans="1:13" s="9" customFormat="1" ht="12.75" customHeight="1">
      <c r="B51" s="684"/>
      <c r="C51" s="685"/>
      <c r="D51" s="263"/>
      <c r="E51" s="684"/>
      <c r="F51" s="685"/>
      <c r="G51" s="263"/>
      <c r="L51" s="161"/>
      <c r="M51" s="124"/>
    </row>
    <row r="52" spans="1:13" s="9" customFormat="1" ht="12.75" customHeight="1">
      <c r="B52" s="684"/>
      <c r="C52" s="685"/>
      <c r="D52" s="263"/>
      <c r="E52" s="684"/>
      <c r="F52" s="685"/>
      <c r="G52" s="263"/>
      <c r="L52" s="161"/>
      <c r="M52" s="124"/>
    </row>
    <row r="53" spans="1:13" s="9" customFormat="1" ht="12.75" customHeight="1">
      <c r="B53" s="684"/>
      <c r="C53" s="685"/>
      <c r="D53" s="263"/>
      <c r="E53" s="684"/>
      <c r="F53" s="685"/>
      <c r="G53" s="263"/>
      <c r="L53" s="161"/>
      <c r="M53" s="124"/>
    </row>
    <row r="54" spans="1:13" s="9" customFormat="1" ht="12.75" customHeight="1">
      <c r="B54" s="684"/>
      <c r="C54" s="685"/>
      <c r="D54" s="263"/>
      <c r="E54" s="684"/>
      <c r="F54" s="685"/>
      <c r="G54" s="263"/>
      <c r="L54" s="161"/>
      <c r="M54" s="124"/>
    </row>
    <row r="55" spans="1:13" s="9" customFormat="1" ht="12.75" customHeight="1">
      <c r="B55" s="684"/>
      <c r="C55" s="685"/>
      <c r="D55" s="263"/>
      <c r="E55" s="684"/>
      <c r="F55" s="685"/>
      <c r="G55" s="263"/>
      <c r="L55" s="161"/>
      <c r="M55" s="124"/>
    </row>
    <row r="56" spans="1:13" s="9" customFormat="1" ht="12.75" customHeight="1">
      <c r="B56" s="684"/>
      <c r="C56" s="685"/>
      <c r="D56" s="263"/>
      <c r="E56" s="684"/>
      <c r="F56" s="685"/>
      <c r="G56" s="263"/>
      <c r="L56" s="161"/>
      <c r="M56" s="124"/>
    </row>
    <row r="57" spans="1:13" s="9" customFormat="1" ht="12.75" customHeight="1">
      <c r="B57" s="684"/>
      <c r="C57" s="685"/>
      <c r="D57" s="263"/>
      <c r="E57" s="684"/>
      <c r="F57" s="685"/>
      <c r="G57" s="263"/>
      <c r="L57" s="161"/>
      <c r="M57" s="124"/>
    </row>
    <row r="58" spans="1:13" s="9" customFormat="1" ht="12.75" customHeight="1">
      <c r="B58" s="684"/>
      <c r="C58" s="685"/>
      <c r="D58" s="263"/>
      <c r="E58" s="684"/>
      <c r="F58" s="685"/>
      <c r="G58" s="263"/>
      <c r="L58" s="161"/>
      <c r="M58" s="124"/>
    </row>
    <row r="59" spans="1:13" s="9" customFormat="1" ht="12.75" customHeight="1">
      <c r="B59" s="684"/>
      <c r="C59" s="685"/>
      <c r="D59" s="263"/>
      <c r="E59" s="684"/>
      <c r="F59" s="685"/>
      <c r="G59" s="263"/>
      <c r="L59" s="161"/>
      <c r="M59" s="124"/>
    </row>
    <row r="60" spans="1:13" s="9" customFormat="1" ht="12.75" customHeight="1">
      <c r="B60" s="684"/>
      <c r="C60" s="685"/>
      <c r="D60" s="263"/>
      <c r="E60" s="684"/>
      <c r="F60" s="685"/>
      <c r="G60" s="263"/>
      <c r="L60" s="161"/>
      <c r="M60" s="124"/>
    </row>
    <row r="61" spans="1:13" s="9" customFormat="1" ht="15" customHeight="1">
      <c r="A61" s="3"/>
      <c r="B61" s="27" t="str">
        <f>+Textes!A83</f>
        <v>Total Zufuhr</v>
      </c>
      <c r="C61" s="270">
        <f>IF(SUM(C6:C60)=0,0,SUM(C6:C60))</f>
        <v>0</v>
      </c>
      <c r="D61" s="271">
        <f>IF(SUM(D6:D60)=0,0,SUM(D6:D60))</f>
        <v>0</v>
      </c>
      <c r="E61" s="27" t="str">
        <f>+Textes!A83</f>
        <v>Total Zufuhr</v>
      </c>
      <c r="F61" s="270">
        <f>IF(SUM(F6:F60)=0,0,SUM(F6:F60))</f>
        <v>0</v>
      </c>
      <c r="G61" s="271">
        <f>IF(SUM(G6:G60)=0,0,SUM(G6:G60))</f>
        <v>0</v>
      </c>
      <c r="H61" s="3"/>
      <c r="I61" s="3"/>
      <c r="L61" s="161"/>
      <c r="M61" s="124"/>
    </row>
    <row r="62" spans="1:13" s="9" customFormat="1" ht="15" customHeight="1">
      <c r="A62" s="3"/>
      <c r="B62" s="6"/>
      <c r="C62" s="3"/>
      <c r="D62" s="21"/>
      <c r="E62" s="6"/>
      <c r="F62" s="21"/>
      <c r="G62" s="21"/>
      <c r="H62" s="3"/>
      <c r="I62" s="3"/>
      <c r="L62" s="161"/>
      <c r="M62" s="124"/>
    </row>
    <row r="63" spans="1:13" s="3" customFormat="1" ht="20.25">
      <c r="A63" s="65"/>
      <c r="B63" s="29" t="str">
        <f>+Textes!A70</f>
        <v>Kantonale Kontrollstelle, Datum:</v>
      </c>
      <c r="C63" s="30"/>
      <c r="D63" s="30"/>
      <c r="E63" s="30" t="str">
        <f>+Textes!A85</f>
        <v>Unterschrift:</v>
      </c>
      <c r="F63" s="30"/>
      <c r="G63" s="31"/>
      <c r="L63" s="161"/>
      <c r="M63" s="124"/>
    </row>
    <row r="64" spans="1:13" s="3" customFormat="1" ht="4.5" customHeight="1">
      <c r="A64" s="1"/>
      <c r="B64" s="1"/>
      <c r="C64" s="1"/>
      <c r="D64" s="1"/>
      <c r="E64" s="127"/>
      <c r="F64" s="1"/>
      <c r="G64" s="1"/>
      <c r="L64" s="161"/>
      <c r="M64" s="124"/>
    </row>
    <row r="65" spans="1:13" s="65" customFormat="1" ht="21" customHeight="1">
      <c r="A65" s="1"/>
      <c r="B65" s="29" t="str">
        <f>+Textes!A74</f>
        <v>Betriebsleiter, Datum:</v>
      </c>
      <c r="C65" s="30"/>
      <c r="D65" s="30"/>
      <c r="E65" s="30" t="str">
        <f>+Textes!A85</f>
        <v>Unterschrift:</v>
      </c>
      <c r="F65" s="30"/>
      <c r="G65" s="31"/>
      <c r="H65" s="1"/>
      <c r="I65" s="1"/>
      <c r="L65" s="161"/>
      <c r="M65" s="124"/>
    </row>
    <row r="66" spans="1:13" ht="6" customHeight="1">
      <c r="F66" s="10"/>
      <c r="G66" s="10"/>
      <c r="L66" s="163"/>
      <c r="M66" s="165"/>
    </row>
    <row r="67" spans="1:13" ht="21" customHeight="1">
      <c r="F67" s="10"/>
      <c r="G67" s="10"/>
      <c r="L67" s="163"/>
      <c r="M67" s="165"/>
    </row>
    <row r="68" spans="1:13" ht="5.25" customHeight="1">
      <c r="F68" s="10"/>
      <c r="G68" s="10"/>
      <c r="L68" s="164"/>
      <c r="M68" s="166"/>
    </row>
    <row r="69" spans="1:13" ht="15" customHeight="1"/>
  </sheetData>
  <sheetProtection password="8C69" sheet="1" scenarios="1"/>
  <phoneticPr fontId="28" type="noConversion"/>
  <pageMargins left="0.59055118110236227" right="0.39370078740157483" top="0.39370078740157483" bottom="0.32" header="0.11811023622047245" footer="0.11811023622047245"/>
  <pageSetup paperSize="9" scale="93" orientation="portrait" r:id="rId1"/>
  <headerFooter alignWithMargins="0">
    <oddFooter>&amp;C&amp;9&amp;F&amp;L&amp;"Arial,Fett"&amp;11AGRIDEA &amp;"Arial,Standard"&amp;9Impex, Version 2.6&amp;R&amp;"Arial,Standard"&amp;9&amp;D / Seite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35</vt:i4>
      </vt:variant>
      <vt:variant>
        <vt:lpstr>Dialoge</vt:lpstr>
      </vt:variant>
      <vt:variant>
        <vt:i4>2</vt:i4>
      </vt:variant>
      <vt:variant>
        <vt:lpstr>Benannte Bereiche</vt:lpstr>
      </vt:variant>
      <vt:variant>
        <vt:i4>252</vt:i4>
      </vt:variant>
    </vt:vector>
  </HeadingPairs>
  <TitlesOfParts>
    <vt:vector size="289" baseType="lpstr">
      <vt:lpstr>Q</vt:lpstr>
      <vt:lpstr>Dblatt</vt:lpstr>
      <vt:lpstr>Info</vt:lpstr>
      <vt:lpstr>Inv</vt:lpstr>
      <vt:lpstr>A1a</vt:lpstr>
      <vt:lpstr>A1b</vt:lpstr>
      <vt:lpstr>A1c</vt:lpstr>
      <vt:lpstr>A1d</vt:lpstr>
      <vt:lpstr>A1e</vt:lpstr>
      <vt:lpstr>A2a</vt:lpstr>
      <vt:lpstr>A2b</vt:lpstr>
      <vt:lpstr>A2c</vt:lpstr>
      <vt:lpstr>A2d</vt:lpstr>
      <vt:lpstr>A2e</vt:lpstr>
      <vt:lpstr>B1</vt:lpstr>
      <vt:lpstr>B2</vt:lpstr>
      <vt:lpstr>B3</vt:lpstr>
      <vt:lpstr>B4</vt:lpstr>
      <vt:lpstr>BX1</vt:lpstr>
      <vt:lpstr>BX2</vt:lpstr>
      <vt:lpstr>BX3</vt:lpstr>
      <vt:lpstr>BX4</vt:lpstr>
      <vt:lpstr>B5</vt:lpstr>
      <vt:lpstr>BX5</vt:lpstr>
      <vt:lpstr>B6</vt:lpstr>
      <vt:lpstr>Impex</vt:lpstr>
      <vt:lpstr>Plausi</vt:lpstr>
      <vt:lpstr>Poulet1</vt:lpstr>
      <vt:lpstr>Poulet2</vt:lpstr>
      <vt:lpstr>Poulet3</vt:lpstr>
      <vt:lpstr>Poulet_tot</vt:lpstr>
      <vt:lpstr>Reserve</vt:lpstr>
      <vt:lpstr>Faktoren</vt:lpstr>
      <vt:lpstr>Textes</vt:lpstr>
      <vt:lpstr>Corr</vt:lpstr>
      <vt:lpstr>Dialog_Blatt</vt:lpstr>
      <vt:lpstr>Dialog_Drucken</vt:lpstr>
      <vt:lpstr>Poulet1!AnzAnfang</vt:lpstr>
      <vt:lpstr>Poulet2!AnzAnfang</vt:lpstr>
      <vt:lpstr>Poulet3!AnzAnfang</vt:lpstr>
      <vt:lpstr>Poulet1!AnzEnde</vt:lpstr>
      <vt:lpstr>Poulet2!AnzEnde</vt:lpstr>
      <vt:lpstr>Poulet3!AnzEnde</vt:lpstr>
      <vt:lpstr>Plausi!AnzMP</vt:lpstr>
      <vt:lpstr>Poulet_tot!AnzMP</vt:lpstr>
      <vt:lpstr>A1a!AnzTiere</vt:lpstr>
      <vt:lpstr>A1b!AnzTiere</vt:lpstr>
      <vt:lpstr>A1c!AnzTiere</vt:lpstr>
      <vt:lpstr>A1d!AnzTiere</vt:lpstr>
      <vt:lpstr>A1e!AnzTiere</vt:lpstr>
      <vt:lpstr>A2a!AnzTiere</vt:lpstr>
      <vt:lpstr>A2b!AnzTiere</vt:lpstr>
      <vt:lpstr>A2c!AnzTiere</vt:lpstr>
      <vt:lpstr>A2d!AnzTiere</vt:lpstr>
      <vt:lpstr>A2e!AnzTiere</vt:lpstr>
      <vt:lpstr>Poulet1!AnzTiere</vt:lpstr>
      <vt:lpstr>Poulet2!AnzTiere</vt:lpstr>
      <vt:lpstr>Poulet3!AnzTiere</vt:lpstr>
      <vt:lpstr>A2a!AusblendSpalten</vt:lpstr>
      <vt:lpstr>A2b!AusblendSpalten</vt:lpstr>
      <vt:lpstr>A2c!AusblendSpalten</vt:lpstr>
      <vt:lpstr>A2d!AusblendSpalten</vt:lpstr>
      <vt:lpstr>A2e!AusblendSpalten</vt:lpstr>
      <vt:lpstr>Impex!AusblendSpalten</vt:lpstr>
      <vt:lpstr>Inv!AusblendSpalten</vt:lpstr>
      <vt:lpstr>Poulet1!AusblendSpalten</vt:lpstr>
      <vt:lpstr>Poulet2!AusblendSpalten</vt:lpstr>
      <vt:lpstr>Poulet3!AusblendSpalten</vt:lpstr>
      <vt:lpstr>A1a!AusblendZeilen</vt:lpstr>
      <vt:lpstr>A1b!AusblendZeilen</vt:lpstr>
      <vt:lpstr>A1c!AusblendZeilen</vt:lpstr>
      <vt:lpstr>A1d!AusblendZeilen</vt:lpstr>
      <vt:lpstr>A1e!AusblendZeilen</vt:lpstr>
      <vt:lpstr>A2a!AusblendZeilen</vt:lpstr>
      <vt:lpstr>A2b!AusblendZeilen</vt:lpstr>
      <vt:lpstr>A2c!AusblendZeilen</vt:lpstr>
      <vt:lpstr>A2d!AusblendZeilen</vt:lpstr>
      <vt:lpstr>A2e!AusblendZeilen</vt:lpstr>
      <vt:lpstr>'B1'!AusblendZeilen</vt:lpstr>
      <vt:lpstr>'B2'!AusblendZeilen</vt:lpstr>
      <vt:lpstr>'B3'!AusblendZeilen</vt:lpstr>
      <vt:lpstr>'B4'!AusblendZeilen</vt:lpstr>
      <vt:lpstr>'B5'!AusblendZeilen</vt:lpstr>
      <vt:lpstr>'B6'!AusblendZeilen</vt:lpstr>
      <vt:lpstr>'BX1'!AusblendZeilen</vt:lpstr>
      <vt:lpstr>'BX2'!AusblendZeilen</vt:lpstr>
      <vt:lpstr>'BX3'!AusblendZeilen</vt:lpstr>
      <vt:lpstr>'BX4'!AusblendZeilen</vt:lpstr>
      <vt:lpstr>'BX5'!AusblendZeilen</vt:lpstr>
      <vt:lpstr>Inv!AusblendZeilen</vt:lpstr>
      <vt:lpstr>Poulet1!AusblendZeilen</vt:lpstr>
      <vt:lpstr>Poulet2!AusblendZeilen</vt:lpstr>
      <vt:lpstr>Poulet3!AusblendZeilen</vt:lpstr>
      <vt:lpstr>Q!auswählen</vt:lpstr>
      <vt:lpstr>Q!BlattListe</vt:lpstr>
      <vt:lpstr>Impex!BlattName</vt:lpstr>
      <vt:lpstr>Inv!Blattname</vt:lpstr>
      <vt:lpstr>Poulet1!BlattName</vt:lpstr>
      <vt:lpstr>Poulet2!BlattName</vt:lpstr>
      <vt:lpstr>Poulet3!BlattName</vt:lpstr>
      <vt:lpstr>Q!BlattRef</vt:lpstr>
      <vt:lpstr>A1a!Datum</vt:lpstr>
      <vt:lpstr>A1b!Datum</vt:lpstr>
      <vt:lpstr>A1c!Datum</vt:lpstr>
      <vt:lpstr>A1d!Datum</vt:lpstr>
      <vt:lpstr>A1e!Datum</vt:lpstr>
      <vt:lpstr>A2a!Datum</vt:lpstr>
      <vt:lpstr>A2b!Datum</vt:lpstr>
      <vt:lpstr>A2c!Datum</vt:lpstr>
      <vt:lpstr>A2d!Datum</vt:lpstr>
      <vt:lpstr>A2e!Datum</vt:lpstr>
      <vt:lpstr>Poulet1!Datum</vt:lpstr>
      <vt:lpstr>Poulet2!Datum</vt:lpstr>
      <vt:lpstr>Poulet3!Datum</vt:lpstr>
      <vt:lpstr>Inv!DatumAnfang</vt:lpstr>
      <vt:lpstr>Inv!DatumEnde</vt:lpstr>
      <vt:lpstr>A1a!Druckbereich</vt:lpstr>
      <vt:lpstr>A1b!Druckbereich</vt:lpstr>
      <vt:lpstr>A1c!Druckbereich</vt:lpstr>
      <vt:lpstr>A1d!Druckbereich</vt:lpstr>
      <vt:lpstr>A1e!Druckbereich</vt:lpstr>
      <vt:lpstr>A2a!Druckbereich</vt:lpstr>
      <vt:lpstr>A2b!Druckbereich</vt:lpstr>
      <vt:lpstr>A2c!Druckbereich</vt:lpstr>
      <vt:lpstr>A2d!Druckbereich</vt:lpstr>
      <vt:lpstr>A2e!Druckbereich</vt:lpstr>
      <vt:lpstr>'B6'!Druckbereich</vt:lpstr>
      <vt:lpstr>Dblatt!Druckbereich</vt:lpstr>
      <vt:lpstr>Impex!Druckbereich</vt:lpstr>
      <vt:lpstr>Info!Druckbereich</vt:lpstr>
      <vt:lpstr>Inv!Druckbereich</vt:lpstr>
      <vt:lpstr>Poulet_tot!Druckbereich</vt:lpstr>
      <vt:lpstr>Poulet1!Druckbereich</vt:lpstr>
      <vt:lpstr>Poulet2!Druckbereich</vt:lpstr>
      <vt:lpstr>Poulet3!Druckbereich</vt:lpstr>
      <vt:lpstr>Q!drucken</vt:lpstr>
      <vt:lpstr>A1a!EingabeBch</vt:lpstr>
      <vt:lpstr>A1b!EingabeBch</vt:lpstr>
      <vt:lpstr>A1c!EingabeBch</vt:lpstr>
      <vt:lpstr>A1d!EingabeBch</vt:lpstr>
      <vt:lpstr>A1e!EingabeBch</vt:lpstr>
      <vt:lpstr>A2a!EingabeBch</vt:lpstr>
      <vt:lpstr>A2b!EingabeBch</vt:lpstr>
      <vt:lpstr>A2c!EingabeBch</vt:lpstr>
      <vt:lpstr>A2d!EingabeBch</vt:lpstr>
      <vt:lpstr>A2e!EingabeBch</vt:lpstr>
      <vt:lpstr>Inv!FuttermittelErweitert</vt:lpstr>
      <vt:lpstr>'BX1'!FuttermittelErwInhalte</vt:lpstr>
      <vt:lpstr>'BX2'!FuttermittelErwInhalte</vt:lpstr>
      <vt:lpstr>'BX3'!FuttermittelErwInhalte</vt:lpstr>
      <vt:lpstr>'BX4'!FuttermittelErwInhalte</vt:lpstr>
      <vt:lpstr>'BX5'!FuttermittelErwInhalte</vt:lpstr>
      <vt:lpstr>Inv!FuttermittelErwInhalte</vt:lpstr>
      <vt:lpstr>Impex!FuttermittelErwZeilen</vt:lpstr>
      <vt:lpstr>Inv!FuttermittelErwZeilen</vt:lpstr>
      <vt:lpstr>Poulet1!GewAnfang</vt:lpstr>
      <vt:lpstr>Poulet2!GewAnfang</vt:lpstr>
      <vt:lpstr>Poulet3!GewAnfang</vt:lpstr>
      <vt:lpstr>Poulet1!GewEnde</vt:lpstr>
      <vt:lpstr>Poulet2!GewEnde</vt:lpstr>
      <vt:lpstr>Poulet3!GewEnde</vt:lpstr>
      <vt:lpstr>Dblatt!Inhaltsverzeichnis</vt:lpstr>
      <vt:lpstr>Poulet1!Jahr</vt:lpstr>
      <vt:lpstr>Poulet2!Jahr</vt:lpstr>
      <vt:lpstr>Poulet3!Jahr</vt:lpstr>
      <vt:lpstr>A1a!kgLG</vt:lpstr>
      <vt:lpstr>A1b!kgLG</vt:lpstr>
      <vt:lpstr>A1c!kgLG</vt:lpstr>
      <vt:lpstr>A1d!kgLG</vt:lpstr>
      <vt:lpstr>A1e!kgLG</vt:lpstr>
      <vt:lpstr>A2a!kgLG</vt:lpstr>
      <vt:lpstr>A2b!kgLG</vt:lpstr>
      <vt:lpstr>A2c!kgLG</vt:lpstr>
      <vt:lpstr>A2d!kgLG</vt:lpstr>
      <vt:lpstr>A2e!kgLG</vt:lpstr>
      <vt:lpstr>Poulet1!kgLG</vt:lpstr>
      <vt:lpstr>Poulet2!kgLG</vt:lpstr>
      <vt:lpstr>Poulet3!kgLG</vt:lpstr>
      <vt:lpstr>Q!MehrereZeilen</vt:lpstr>
      <vt:lpstr>Q!Msg_Aktion</vt:lpstr>
      <vt:lpstr>Q!Msg_AnfangEnde</vt:lpstr>
      <vt:lpstr>Q!Msg_AnzZeilen</vt:lpstr>
      <vt:lpstr>Q!Msg_Ausg</vt:lpstr>
      <vt:lpstr>Q!Msg_Blatt</vt:lpstr>
      <vt:lpstr>Q!Msg_BlattZeilen</vt:lpstr>
      <vt:lpstr>Q!Msg_Daten</vt:lpstr>
      <vt:lpstr>Q!Msg_EineZeile</vt:lpstr>
      <vt:lpstr>Q!Msg_Hinweis</vt:lpstr>
      <vt:lpstr>Q!Msg_JahrAnfang</vt:lpstr>
      <vt:lpstr>Q!Msg_KeineZeilen</vt:lpstr>
      <vt:lpstr>Q!Msg_Kontrolljahr</vt:lpstr>
      <vt:lpstr>Q!Msg_LöschZeilen</vt:lpstr>
      <vt:lpstr>Q!Msg_Markieren</vt:lpstr>
      <vt:lpstr>Q!Msg_MarkierZeilen</vt:lpstr>
      <vt:lpstr>Q!Msg_Op</vt:lpstr>
      <vt:lpstr>Q!Msg_TagAnfang</vt:lpstr>
      <vt:lpstr>Q!Msg_TagEnde</vt:lpstr>
      <vt:lpstr>Q!Msg_Umtrieb</vt:lpstr>
      <vt:lpstr>Q!Msg_Ungültig</vt:lpstr>
      <vt:lpstr>Q!Msg_Verschieben</vt:lpstr>
      <vt:lpstr>Q!Msg_VerschiebZeilen</vt:lpstr>
      <vt:lpstr>Q!Msg_Version</vt:lpstr>
      <vt:lpstr>Q!Msg_Warnung</vt:lpstr>
      <vt:lpstr>Q!Msg_Weiter</vt:lpstr>
      <vt:lpstr>Q!Msg_ZeilenEinf</vt:lpstr>
      <vt:lpstr>Q!Msg_ZusätzlicheFuttermittelLöschen</vt:lpstr>
      <vt:lpstr>Q!ProgrammTyp</vt:lpstr>
      <vt:lpstr>Q!Seite</vt:lpstr>
      <vt:lpstr>Dblatt!SeitenNo</vt:lpstr>
      <vt:lpstr>Inv!SperrZellen</vt:lpstr>
      <vt:lpstr>Inv!SperrZellenInvers</vt:lpstr>
      <vt:lpstr>Textes!SprachIdx</vt:lpstr>
      <vt:lpstr>Textes!Stall1</vt:lpstr>
      <vt:lpstr>Textes!Stall2</vt:lpstr>
      <vt:lpstr>Textes!Stall3</vt:lpstr>
      <vt:lpstr>A1a!StartZelle</vt:lpstr>
      <vt:lpstr>A1b!StartZelle</vt:lpstr>
      <vt:lpstr>A1c!StartZelle</vt:lpstr>
      <vt:lpstr>A1d!StartZelle</vt:lpstr>
      <vt:lpstr>A1e!StartZelle</vt:lpstr>
      <vt:lpstr>A2a!StartZelle</vt:lpstr>
      <vt:lpstr>A2b!StartZelle</vt:lpstr>
      <vt:lpstr>A2c!StartZelle</vt:lpstr>
      <vt:lpstr>A2d!StartZelle</vt:lpstr>
      <vt:lpstr>A2e!StartZelle</vt:lpstr>
      <vt:lpstr>'B1'!StartZelle</vt:lpstr>
      <vt:lpstr>'B2'!StartZelle</vt:lpstr>
      <vt:lpstr>'B3'!StartZelle</vt:lpstr>
      <vt:lpstr>'B4'!StartZelle</vt:lpstr>
      <vt:lpstr>'B5'!StartZelle</vt:lpstr>
      <vt:lpstr>'B6'!StartZelle</vt:lpstr>
      <vt:lpstr>'BX1'!StartZelle</vt:lpstr>
      <vt:lpstr>'BX2'!StartZelle</vt:lpstr>
      <vt:lpstr>'BX3'!StartZelle</vt:lpstr>
      <vt:lpstr>'BX4'!StartZelle</vt:lpstr>
      <vt:lpstr>'BX5'!StartZelle</vt:lpstr>
      <vt:lpstr>Dblatt!StartZelle</vt:lpstr>
      <vt:lpstr>Impex!StartZelle</vt:lpstr>
      <vt:lpstr>Info!StartZelle</vt:lpstr>
      <vt:lpstr>Inv!StartZelle</vt:lpstr>
      <vt:lpstr>Plausi!StartZelle</vt:lpstr>
      <vt:lpstr>Poulet_tot!StartZelle</vt:lpstr>
      <vt:lpstr>Poulet1!StartZelle</vt:lpstr>
      <vt:lpstr>Poulet2!StartZelle</vt:lpstr>
      <vt:lpstr>Poulet3!StartZelle</vt:lpstr>
      <vt:lpstr>Reserve!StartZelle</vt:lpstr>
      <vt:lpstr>Textes!StartZelle</vt:lpstr>
      <vt:lpstr>Poulet1!SuchSpalte</vt:lpstr>
      <vt:lpstr>Poulet2!SuchSpalte</vt:lpstr>
      <vt:lpstr>Poulet3!SuchSpalte</vt:lpstr>
      <vt:lpstr>Q!Tabellenblätter</vt:lpstr>
      <vt:lpstr>A1a!TabZeilen</vt:lpstr>
      <vt:lpstr>A1b!TabZeilen</vt:lpstr>
      <vt:lpstr>A1c!TabZeilen</vt:lpstr>
      <vt:lpstr>A1d!TabZeilen</vt:lpstr>
      <vt:lpstr>A1e!TabZeilen</vt:lpstr>
      <vt:lpstr>A2a!TabZeilen</vt:lpstr>
      <vt:lpstr>A2b!TabZeilen</vt:lpstr>
      <vt:lpstr>A2c!TabZeilen</vt:lpstr>
      <vt:lpstr>A2d!TabZeilen</vt:lpstr>
      <vt:lpstr>A2e!TabZeilen</vt:lpstr>
      <vt:lpstr>'B1'!TabZeilen</vt:lpstr>
      <vt:lpstr>'B2'!TabZeilen</vt:lpstr>
      <vt:lpstr>'B3'!TabZeilen</vt:lpstr>
      <vt:lpstr>'B4'!TabZeilen</vt:lpstr>
      <vt:lpstr>'B5'!TabZeilen</vt:lpstr>
      <vt:lpstr>'B6'!TabZeilen</vt:lpstr>
      <vt:lpstr>'BX1'!TabZeilen</vt:lpstr>
      <vt:lpstr>'BX2'!TabZeilen</vt:lpstr>
      <vt:lpstr>'BX3'!TabZeilen</vt:lpstr>
      <vt:lpstr>'BX4'!TabZeilen</vt:lpstr>
      <vt:lpstr>'BX5'!TabZeilen</vt:lpstr>
      <vt:lpstr>TabZeilen</vt:lpstr>
      <vt:lpstr>Poulet1!Transfer</vt:lpstr>
      <vt:lpstr>Poulet2!Transfer</vt:lpstr>
      <vt:lpstr>Poulet3!Transfer</vt:lpstr>
      <vt:lpstr>A2a!TxtAusbeute</vt:lpstr>
      <vt:lpstr>A2b!TxtAusbeute</vt:lpstr>
      <vt:lpstr>A2c!TxtAusbeute</vt:lpstr>
      <vt:lpstr>A2d!TxtAusbeute</vt:lpstr>
      <vt:lpstr>A2e!TxtAusbeute</vt:lpstr>
      <vt:lpstr>Textes!TxtAusbeute</vt:lpstr>
      <vt:lpstr>Q!VersionsDatum</vt:lpstr>
      <vt:lpstr>Q!VersionsNummer</vt:lpstr>
      <vt:lpstr>Q!Zeilen</vt:lpstr>
      <vt:lpstr>Q!ZeilenAusschneiden</vt:lpstr>
      <vt:lpstr>Q!ZeilenEinfügen</vt:lpstr>
      <vt:lpstr>Q!ZeilenLöschen</vt:lpstr>
      <vt:lpstr>Q!ZeilenVerschieben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Impex 2.6</dc:title>
  <dc:subject>Import-/Exportbilanz</dc:subject>
  <dc:creator>AGRIDEA</dc:creator>
  <cp:lastModifiedBy>Eggenberger Mirjam Laura  DFRGES</cp:lastModifiedBy>
  <cp:lastPrinted>2015-11-12T08:59:27Z</cp:lastPrinted>
  <dcterms:created xsi:type="dcterms:W3CDTF">1999-06-24T14:06:28Z</dcterms:created>
  <dcterms:modified xsi:type="dcterms:W3CDTF">2016-02-04T11:12:08Z</dcterms:modified>
</cp:coreProperties>
</file>