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agfsbvu.ads.ktag.ch\agfsbvu1$\OSLW\Root\5\6\0\25484\Förderprogramm 2026\Förderung in Verbundgebieten\"/>
    </mc:Choice>
  </mc:AlternateContent>
  <xr:revisionPtr revIDLastSave="0" documentId="13_ncr:1_{7EA7FB45-64C6-41FF-AA9C-65CD2BF34024}" xr6:coauthVersionLast="47" xr6:coauthVersionMax="47" xr10:uidLastSave="{00000000-0000-0000-0000-000000000000}"/>
  <bookViews>
    <workbookView xWindow="-120" yWindow="-120" windowWidth="29040" windowHeight="15720" xr2:uid="{00000000-000D-0000-FFFF-FFFF00000000}"/>
  </bookViews>
  <sheets>
    <sheet name="Berechnung" sheetId="1" r:id="rId1"/>
    <sheet name="§22 EnergieV" sheetId="2" r:id="rId2"/>
    <sheet name="Wegleitung" sheetId="3" r:id="rId3"/>
    <sheet name="Energiepreise" sheetId="5" r:id="rId4"/>
  </sheets>
  <definedNames>
    <definedName name="_xlnm._FilterDatabase" localSheetId="1" hidden="1">'§22 EnergieV'!$B$1:$B$13</definedName>
    <definedName name="_Toc327969523" localSheetId="1">'§22 EnergieV'!$A$1</definedName>
    <definedName name="_xlnm.Print_Area" localSheetId="1">'§22 EnergieV'!$A$1:$G$93</definedName>
    <definedName name="_xlnm.Print_Area" localSheetId="0">Berechnung!$A$1:$H$58</definedName>
    <definedName name="_xlnm.Print_Area" localSheetId="2">Wegleitung!$A$1:$C$79</definedName>
    <definedName name="OLE_LINK1" localSheetId="1">'§22 EnergieV'!$A$1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9" i="1" l="1"/>
  <c r="E70" i="1"/>
  <c r="E41" i="1"/>
  <c r="E40" i="1"/>
  <c r="E39" i="1"/>
  <c r="E38" i="1"/>
  <c r="E32" i="1"/>
  <c r="E26" i="1"/>
  <c r="E30" i="1" s="1"/>
  <c r="E33" i="1" s="1"/>
  <c r="E71" i="1" s="1"/>
  <c r="F21" i="1"/>
  <c r="H41" i="1"/>
  <c r="H40" i="1"/>
  <c r="H39" i="1"/>
  <c r="H38" i="1"/>
  <c r="F41" i="1"/>
  <c r="F40" i="1"/>
  <c r="F39" i="1"/>
  <c r="F38" i="1"/>
  <c r="G41" i="1"/>
  <c r="G40" i="1"/>
  <c r="G39" i="1"/>
  <c r="G38" i="1"/>
  <c r="D41" i="1"/>
  <c r="D40" i="1"/>
  <c r="D39" i="1"/>
  <c r="D38" i="1"/>
  <c r="H13" i="1"/>
  <c r="H14" i="1" s="1"/>
  <c r="E20" i="1" s="1"/>
  <c r="E22" i="1" s="1"/>
  <c r="H26" i="1"/>
  <c r="H35" i="1" s="1"/>
  <c r="H70" i="1"/>
  <c r="G26" i="1"/>
  <c r="G30" i="1" s="1"/>
  <c r="G70" i="1"/>
  <c r="F26" i="1"/>
  <c r="F35" i="1" s="1"/>
  <c r="G114" i="1"/>
  <c r="F70" i="1"/>
  <c r="D19" i="1"/>
  <c r="D26" i="1"/>
  <c r="D70" i="1"/>
  <c r="H32" i="1"/>
  <c r="C83" i="1"/>
  <c r="C91" i="1" s="1"/>
  <c r="G32" i="1"/>
  <c r="F32" i="1"/>
  <c r="D32" i="1"/>
  <c r="J140" i="1"/>
  <c r="F118" i="1" s="1"/>
  <c r="H114" i="1"/>
  <c r="D114" i="1"/>
  <c r="J142" i="1"/>
  <c r="F114" i="1" s="1"/>
  <c r="J145" i="1"/>
  <c r="C12" i="5" s="1"/>
  <c r="G19" i="1"/>
  <c r="J144" i="1"/>
  <c r="G21" i="1" s="1"/>
  <c r="G118" i="1"/>
  <c r="B61" i="1"/>
  <c r="B4" i="1" s="1"/>
  <c r="G117" i="1"/>
  <c r="J143" i="1"/>
  <c r="C15" i="5" s="1"/>
  <c r="J141" i="1"/>
  <c r="C13" i="5" s="1"/>
  <c r="G115" i="1"/>
  <c r="G116" i="1"/>
  <c r="H115" i="1"/>
  <c r="D115" i="1"/>
  <c r="H118" i="1"/>
  <c r="H117" i="1"/>
  <c r="H116" i="1"/>
  <c r="D118" i="1"/>
  <c r="D117" i="1"/>
  <c r="F19" i="1" s="1"/>
  <c r="D116" i="1"/>
  <c r="E43" i="1" l="1"/>
  <c r="E69" i="1"/>
  <c r="F69" i="1"/>
  <c r="E35" i="1"/>
  <c r="H30" i="1"/>
  <c r="H33" i="1" s="1"/>
  <c r="H71" i="1" s="1"/>
  <c r="D35" i="1"/>
  <c r="H69" i="1"/>
  <c r="G69" i="1"/>
  <c r="C10" i="5"/>
  <c r="C11" i="5"/>
  <c r="F117" i="1"/>
  <c r="F30" i="1" s="1"/>
  <c r="F33" i="1" s="1"/>
  <c r="F71" i="1" s="1"/>
  <c r="D21" i="1"/>
  <c r="C87" i="1"/>
  <c r="G79" i="1"/>
  <c r="G35" i="1"/>
  <c r="D69" i="1"/>
  <c r="D30" i="1"/>
  <c r="D33" i="1" s="1"/>
  <c r="D71" i="1" s="1"/>
  <c r="D20" i="1"/>
  <c r="G80" i="1"/>
  <c r="E75" i="1" s="1"/>
  <c r="F20" i="1"/>
  <c r="F22" i="1" s="1"/>
  <c r="F43" i="1" s="1"/>
  <c r="G33" i="1"/>
  <c r="G71" i="1" s="1"/>
  <c r="F116" i="1"/>
  <c r="F115" i="1"/>
  <c r="G20" i="1"/>
  <c r="G22" i="1" s="1"/>
  <c r="G43" i="1" s="1"/>
  <c r="H20" i="1"/>
  <c r="C19" i="5"/>
  <c r="G81" i="1"/>
  <c r="E74" i="1" s="1"/>
  <c r="H21" i="1"/>
  <c r="C14" i="5"/>
  <c r="E73" i="1" l="1"/>
  <c r="E76" i="1" s="1"/>
  <c r="E45" i="1" s="1"/>
  <c r="H75" i="1"/>
  <c r="D22" i="1"/>
  <c r="D43" i="1" s="1"/>
  <c r="H73" i="1"/>
  <c r="G75" i="1"/>
  <c r="C92" i="1"/>
  <c r="F44" i="1" s="1"/>
  <c r="D73" i="1"/>
  <c r="F73" i="1"/>
  <c r="D75" i="1"/>
  <c r="F75" i="1"/>
  <c r="G73" i="1"/>
  <c r="C88" i="1"/>
  <c r="H44" i="1"/>
  <c r="H22" i="1"/>
  <c r="H43" i="1" s="1"/>
  <c r="G74" i="1"/>
  <c r="D74" i="1"/>
  <c r="H74" i="1"/>
  <c r="F74" i="1"/>
  <c r="E44" i="1" l="1"/>
  <c r="H76" i="1"/>
  <c r="H45" i="1" s="1"/>
  <c r="H46" i="1" s="1"/>
  <c r="H49" i="1" s="1"/>
  <c r="D44" i="1"/>
  <c r="G44" i="1"/>
  <c r="D76" i="1"/>
  <c r="G76" i="1"/>
  <c r="G45" i="1" s="1"/>
  <c r="G46" i="1" s="1"/>
  <c r="G49" i="1" s="1"/>
  <c r="F76" i="1"/>
  <c r="F45" i="1" s="1"/>
  <c r="F46" i="1" s="1"/>
  <c r="F49" i="1" s="1"/>
  <c r="D45" i="1" l="1"/>
  <c r="D46" i="1" s="1"/>
  <c r="D50" i="1" s="1"/>
  <c r="E46" i="1"/>
  <c r="E49" i="1" l="1"/>
  <c r="H50" i="1"/>
  <c r="G50" i="1"/>
  <c r="E50" i="1"/>
  <c r="F50" i="1"/>
  <c r="D49" i="1"/>
  <c r="G51" i="1" l="1"/>
  <c r="H51" i="1"/>
</calcChain>
</file>

<file path=xl/sharedStrings.xml><?xml version="1.0" encoding="utf-8"?>
<sst xmlns="http://schemas.openxmlformats.org/spreadsheetml/2006/main" count="337" uniqueCount="219">
  <si>
    <t>Gebäudedaten</t>
  </si>
  <si>
    <t>Gebäudekategorie</t>
  </si>
  <si>
    <t>Energiebezugsfläche EBF</t>
  </si>
  <si>
    <t>Heizleistungsbedarf  SIA 384.201</t>
  </si>
  <si>
    <t>Warmwasserbedarf nach SIA 380/1</t>
  </si>
  <si>
    <t>Nutzenergiebedarf</t>
  </si>
  <si>
    <t>Nutzenergiebedarf gemäss Nachweis</t>
  </si>
  <si>
    <t>kW</t>
  </si>
  <si>
    <t>kWh/a</t>
  </si>
  <si>
    <t>Vergleich Heizungssysteme</t>
  </si>
  <si>
    <t>Oelheizung</t>
  </si>
  <si>
    <t>Gasheizung</t>
  </si>
  <si>
    <r>
      <t>m</t>
    </r>
    <r>
      <rPr>
        <vertAlign val="superscript"/>
        <sz val="9"/>
        <rFont val="Arial"/>
      </rPr>
      <t>2</t>
    </r>
  </si>
  <si>
    <r>
      <t>MJ/m</t>
    </r>
    <r>
      <rPr>
        <vertAlign val="superscript"/>
        <sz val="9"/>
        <rFont val="Arial"/>
      </rPr>
      <t>2</t>
    </r>
    <r>
      <rPr>
        <sz val="9"/>
        <rFont val="Arial"/>
      </rPr>
      <t>a</t>
    </r>
  </si>
  <si>
    <t>Energiebedarf</t>
  </si>
  <si>
    <t>Energiepreis</t>
  </si>
  <si>
    <t>Jahreskosten für Energie</t>
  </si>
  <si>
    <t>Total Installationskosten</t>
  </si>
  <si>
    <t>Raumbedarf gemäss Nachweis</t>
  </si>
  <si>
    <t>spezifische Raumkosten</t>
  </si>
  <si>
    <t>Total Raumkosten</t>
  </si>
  <si>
    <t>Wartung und Unterhalt</t>
  </si>
  <si>
    <t>Standardwert</t>
  </si>
  <si>
    <t>Kosten gemäss Nachweis</t>
  </si>
  <si>
    <t>Energiekosten</t>
  </si>
  <si>
    <t>Lebensdauer</t>
  </si>
  <si>
    <t>Kalkulationszinssatz</t>
  </si>
  <si>
    <t>Kapitalkosten</t>
  </si>
  <si>
    <t>Total Jahreskosten</t>
  </si>
  <si>
    <t>Ergebnis</t>
  </si>
  <si>
    <t>Fossile Anlage zulässig</t>
  </si>
  <si>
    <t>Vergleich</t>
  </si>
  <si>
    <t>Investitionskosten Heizung und Warmwasser</t>
  </si>
  <si>
    <t>Bestätigung</t>
  </si>
  <si>
    <t>Bauherrschaft</t>
  </si>
  <si>
    <t>Verfasser Nachweis</t>
  </si>
  <si>
    <t>Name:</t>
  </si>
  <si>
    <t>Ort, Datum, Unterschrift:</t>
  </si>
  <si>
    <r>
      <t>m</t>
    </r>
    <r>
      <rPr>
        <vertAlign val="superscript"/>
        <sz val="9"/>
        <rFont val="Arial"/>
      </rPr>
      <t>3</t>
    </r>
  </si>
  <si>
    <r>
      <t>CHF/m</t>
    </r>
    <r>
      <rPr>
        <vertAlign val="superscript"/>
        <sz val="9"/>
        <rFont val="Arial"/>
      </rPr>
      <t>3</t>
    </r>
  </si>
  <si>
    <t>Jahre</t>
  </si>
  <si>
    <t>%</t>
  </si>
  <si>
    <t>-</t>
  </si>
  <si>
    <t>Rp/kWh</t>
  </si>
  <si>
    <t>Alternative Systeme</t>
  </si>
  <si>
    <t>Fossile Heizung</t>
  </si>
  <si>
    <t>Heizungssystem</t>
  </si>
  <si>
    <t>Warmwasserbedarf nach SIA380/1</t>
  </si>
  <si>
    <r>
      <t>MJ/m</t>
    </r>
    <r>
      <rPr>
        <vertAlign val="superscript"/>
        <sz val="9"/>
        <rFont val="Arial"/>
      </rPr>
      <t>2</t>
    </r>
  </si>
  <si>
    <t>Stückholz</t>
  </si>
  <si>
    <t>Holz-Pellets</t>
  </si>
  <si>
    <t>Holz-Schnitzel</t>
  </si>
  <si>
    <t>WP-Luft</t>
  </si>
  <si>
    <t>WP-Sonde</t>
  </si>
  <si>
    <t>WP-Wasser</t>
  </si>
  <si>
    <t>Fernwärme</t>
  </si>
  <si>
    <t>Energiepreise</t>
  </si>
  <si>
    <t>Strom</t>
  </si>
  <si>
    <t>Oel</t>
  </si>
  <si>
    <t>Gas</t>
  </si>
  <si>
    <t>Wartung und Unterhalt (In % der Investitionskosten)</t>
  </si>
  <si>
    <t>SIA380/1</t>
  </si>
  <si>
    <t>Nutzungsgrad / JAZ</t>
  </si>
  <si>
    <t>Minergie</t>
  </si>
  <si>
    <t>energieschweiz</t>
  </si>
  <si>
    <t>0.65 - 0.75</t>
  </si>
  <si>
    <t>2.7 / 3.2</t>
  </si>
  <si>
    <t>0.85 - 0.95</t>
  </si>
  <si>
    <t>Berechnung</t>
  </si>
  <si>
    <t>Formular gültig bis:</t>
  </si>
  <si>
    <t>Spezifische Raumkosten</t>
  </si>
  <si>
    <t>Erläuterungen zur Berechnung</t>
  </si>
  <si>
    <t>http://www.strompreis.elcom.admin.ch/Map/ShowSwissMap.aspx</t>
  </si>
  <si>
    <t xml:space="preserve">Gas, Öl: </t>
  </si>
  <si>
    <t>http://www.bfs.admin.ch/bfs/portal/de/index/themen/05/02/blank/data.html</t>
  </si>
  <si>
    <t xml:space="preserve">Holz: </t>
  </si>
  <si>
    <t>http://www.bfs.admin.ch/bfs/portal/de/index/themen/05/04/blank/data/03.html</t>
  </si>
  <si>
    <t>Kostensteigerung Energiepreise</t>
  </si>
  <si>
    <t>Kostensteigerung Wartung und Unterhalt</t>
  </si>
  <si>
    <t>Berechnungsgrundlagen</t>
  </si>
  <si>
    <t>Jahreskosten über die Betrachtungsdauer</t>
  </si>
  <si>
    <t>Faktor Energiepreissteigerung</t>
  </si>
  <si>
    <t>Heizgradtage Buchs / Aarau</t>
  </si>
  <si>
    <t>HGT 20/12</t>
  </si>
  <si>
    <t>Ti</t>
  </si>
  <si>
    <t>Ta</t>
  </si>
  <si>
    <t>°C</t>
  </si>
  <si>
    <t>Betriebszeit</t>
  </si>
  <si>
    <t>h/d</t>
  </si>
  <si>
    <t>Faktor Kostensteigerung W+U</t>
  </si>
  <si>
    <t>Raumbedarf Heizzentrale</t>
  </si>
  <si>
    <t>Raumbedarf Brennstofflager</t>
  </si>
  <si>
    <t>Jährliche Kostensteigerung W+U</t>
  </si>
  <si>
    <t>0 - 25 kW</t>
  </si>
  <si>
    <t>25 - 50 kW</t>
  </si>
  <si>
    <t>50 - 120 kW</t>
  </si>
  <si>
    <t>120 - 500 kW</t>
  </si>
  <si>
    <t>&gt; 500 kW</t>
  </si>
  <si>
    <t>Raumbedarf SIA 384/1</t>
  </si>
  <si>
    <t>Jährliche Kostensteigerung Energie</t>
  </si>
  <si>
    <t>Schnitt 4 Jahre</t>
  </si>
  <si>
    <t>Raumkosten</t>
  </si>
  <si>
    <t>Raumbedarf Standardwert</t>
  </si>
  <si>
    <t>Annuität</t>
  </si>
  <si>
    <t>Energiebezugsfläche</t>
  </si>
  <si>
    <t>Heizleistungsbedarf</t>
  </si>
  <si>
    <t>Warmwasserbedarf</t>
  </si>
  <si>
    <t>gemäss Nachweis</t>
  </si>
  <si>
    <t>Qh * HGT * h / ti - ta</t>
  </si>
  <si>
    <t>Nutzenergiebedarf / Nutzungsgrad</t>
  </si>
  <si>
    <t>Mittelwert der letzten vier Kalenderjahre</t>
  </si>
  <si>
    <t>Energiebedarf * Energiepreis</t>
  </si>
  <si>
    <t>Berechnung WP-Luft zwingend, andere alternative Heizsysteme (Stückholz, Holzpellet, Holzschnitzel, WP-Sonde, WP-Wasser, Fernwärme) fakultativ.</t>
  </si>
  <si>
    <t>Raumbedarf für Heizzentralen und Brennstofflager nach SIA 384/1.</t>
  </si>
  <si>
    <t>Raumbedarf kann direkt eingegeben werden, Beleg durch Nachweis.</t>
  </si>
  <si>
    <t>Vorgabe durch Kanton.</t>
  </si>
  <si>
    <t>Kosten für Wartung und Unterhalt. Wert in Abhängigkeit der Installationskosten.</t>
  </si>
  <si>
    <t>Kosten für Wartung und Unterhalt können direkt eingegeben werden. Durch Nachweis belegen. Berücksichtigt werden müssen Wartung für Wärmeerzeugungsanlagen und Abgasanlagen (Kaminfeger).</t>
  </si>
  <si>
    <t>Kostensteigerung Energiepreise über die Betrachtungsdauer.</t>
  </si>
  <si>
    <t>Kostensteigerung für Wartung und Unterhalt über die Betrachtungsdauer.</t>
  </si>
  <si>
    <t>Energiekosten * Faktor Kostensteigerung</t>
  </si>
  <si>
    <t>Kosten für Wartung und Unterhalt * Faktor Kostensteigerung</t>
  </si>
  <si>
    <t>Kapitalkosten der Investitionen über Betrachtungsdauer.</t>
  </si>
  <si>
    <t>Total der jährlichen Kosten über die Betrachtungsdauer.</t>
  </si>
  <si>
    <t>Kosten fossile Anlage &lt;110% Anlage zulässig. Kosten fossile Anlage &gt;110% Anlage nicht zulässig.</t>
  </si>
  <si>
    <t>Gemäss SIA 380/1</t>
  </si>
  <si>
    <t>Gemäss Eingabe Energienachweis und Berechnung SIA 380/1.</t>
  </si>
  <si>
    <t>Nach SIA 384.201</t>
  </si>
  <si>
    <t>Vorgehensanleitung</t>
  </si>
  <si>
    <r>
      <t xml:space="preserve">Diese Datei dient als Tool zum Nachweis </t>
    </r>
    <r>
      <rPr>
        <i/>
        <sz val="9"/>
        <rFont val="Arial"/>
        <family val="2"/>
      </rPr>
      <t xml:space="preserve">§22 Kostennachweis für fossile Heizungsanlagen. </t>
    </r>
    <r>
      <rPr>
        <sz val="9"/>
        <rFont val="Arial"/>
        <family val="2"/>
      </rPr>
      <t>Sie basiert auf Excel.</t>
    </r>
  </si>
  <si>
    <t>Diese Excel-Datei besteht aus folgenden Registerkarten:</t>
  </si>
  <si>
    <t>(siehe Bildschirmleiste unten)</t>
  </si>
  <si>
    <t>§22 EnergieV</t>
  </si>
  <si>
    <t>Wegleitung</t>
  </si>
  <si>
    <t>Das richtige Vorgehen beim Ausfüllen</t>
  </si>
  <si>
    <r>
      <t xml:space="preserve">10 </t>
    </r>
    <r>
      <rPr>
        <sz val="9"/>
        <rFont val="Arial"/>
      </rPr>
      <t>Lager</t>
    </r>
  </si>
  <si>
    <r>
      <t xml:space="preserve">11 </t>
    </r>
    <r>
      <rPr>
        <sz val="9"/>
        <rFont val="Arial"/>
      </rPr>
      <t>Sportbauten</t>
    </r>
  </si>
  <si>
    <r>
      <t xml:space="preserve">12 </t>
    </r>
    <r>
      <rPr>
        <sz val="9"/>
        <rFont val="Arial"/>
      </rPr>
      <t>Hallenbäder</t>
    </r>
  </si>
  <si>
    <r>
      <t>01</t>
    </r>
    <r>
      <rPr>
        <sz val="9"/>
        <rFont val="Arial"/>
      </rPr>
      <t xml:space="preserve"> Wohnen MFH</t>
    </r>
  </si>
  <si>
    <r>
      <t>02</t>
    </r>
    <r>
      <rPr>
        <sz val="9"/>
        <rFont val="Arial"/>
      </rPr>
      <t xml:space="preserve"> Wohnen EFH</t>
    </r>
  </si>
  <si>
    <r>
      <t xml:space="preserve">03 </t>
    </r>
    <r>
      <rPr>
        <sz val="9"/>
        <rFont val="Arial"/>
      </rPr>
      <t>Verwaltung</t>
    </r>
  </si>
  <si>
    <r>
      <t xml:space="preserve">04 </t>
    </r>
    <r>
      <rPr>
        <sz val="9"/>
        <rFont val="Arial"/>
      </rPr>
      <t>Schulen</t>
    </r>
  </si>
  <si>
    <r>
      <t xml:space="preserve">05 </t>
    </r>
    <r>
      <rPr>
        <sz val="9"/>
        <rFont val="Arial"/>
      </rPr>
      <t>Verkauf</t>
    </r>
  </si>
  <si>
    <r>
      <t xml:space="preserve">06 </t>
    </r>
    <r>
      <rPr>
        <sz val="9"/>
        <rFont val="Arial"/>
      </rPr>
      <t>Restaurants</t>
    </r>
  </si>
  <si>
    <r>
      <t xml:space="preserve">07 </t>
    </r>
    <r>
      <rPr>
        <sz val="9"/>
        <rFont val="Arial"/>
      </rPr>
      <t>Versammlungslokale</t>
    </r>
  </si>
  <si>
    <r>
      <t xml:space="preserve">08 </t>
    </r>
    <r>
      <rPr>
        <sz val="9"/>
        <rFont val="Arial"/>
      </rPr>
      <t>Spitäler</t>
    </r>
  </si>
  <si>
    <r>
      <t>09</t>
    </r>
    <r>
      <rPr>
        <sz val="9"/>
        <rFont val="Arial"/>
      </rPr>
      <t xml:space="preserve"> Industrie</t>
    </r>
  </si>
  <si>
    <t>Nutzungsgrad</t>
  </si>
  <si>
    <t>Raumbedarf</t>
  </si>
  <si>
    <t>W+U</t>
  </si>
  <si>
    <t xml:space="preserve">Für die Ermittlung des Energiebedarfes muss die EBF und der Heizleistungsbedarf vorhanden sein. Bei bestehenden Gebäuden kann der Energiebedarf anhand des Energieverbrauches eingesetzt werden. </t>
  </si>
  <si>
    <t>Eingabe Heizleistungsbedarf zwingend</t>
  </si>
  <si>
    <r>
      <t>m</t>
    </r>
    <r>
      <rPr>
        <vertAlign val="superscript"/>
        <sz val="9"/>
        <rFont val="Arial"/>
      </rPr>
      <t>3</t>
    </r>
    <r>
      <rPr>
        <sz val="9"/>
        <rFont val="Arial"/>
      </rPr>
      <t>/kW</t>
    </r>
  </si>
  <si>
    <t>Eingabe mit separatem Nachweis belegen (Verbrauchszahlen vergangener Jahre)</t>
  </si>
  <si>
    <t>Eingabe mit separatem Nachweis belegen, ohne Eingabe wird mit Standard-Wert gerechnet</t>
  </si>
  <si>
    <t>Energiepreise und Diskontsatz</t>
  </si>
  <si>
    <t>Heizöl</t>
  </si>
  <si>
    <t>Erdgas</t>
  </si>
  <si>
    <t>Rp./kWh</t>
  </si>
  <si>
    <t>Für die zu prüfenden Wärmeerzeugungssysteme müssen die Investitionskosten eingesetzt werden.</t>
  </si>
  <si>
    <t>Notwendige Beilagen</t>
  </si>
  <si>
    <t xml:space="preserve"> - Kostenschätzungen der Wärmeerzeugungsvarianten oder wenn vorhanden Offerten</t>
  </si>
  <si>
    <t xml:space="preserve"> - Nachweis Raumbedarf wenn nicht mit Standardwert gerechnet wird</t>
  </si>
  <si>
    <t xml:space="preserve"> - Nachweis für Kosten Wartung und Unterhalt wenn nicht mit Standardwert gerechnet wird</t>
  </si>
  <si>
    <t>EBF aus Berechnung SIA380/1 wenn vorhanden</t>
  </si>
  <si>
    <t>Strom:</t>
  </si>
  <si>
    <t>Bezeichnung Bauvorhaben</t>
  </si>
  <si>
    <t>Adresse und Ort des Bauvorhabens</t>
  </si>
  <si>
    <t>Gebäudekategorie wählen mit Pulldown-Menü zwingend</t>
  </si>
  <si>
    <t>Bauseitige Arbeiten (Elektro, Baumeister etc.)</t>
  </si>
  <si>
    <t>Bauseitige Arbeiten</t>
  </si>
  <si>
    <t>Art des Bauvorhabens</t>
  </si>
  <si>
    <t>2.3/2.7</t>
  </si>
  <si>
    <t>JAZ WP-Luft</t>
  </si>
  <si>
    <t>Neubau</t>
  </si>
  <si>
    <t>Umbau</t>
  </si>
  <si>
    <t>Art des Bauvorhabens wählen mit Pulldown-Menü zwingend</t>
  </si>
  <si>
    <t>Neubau oder Umbau</t>
  </si>
  <si>
    <t>Gebäudekategorie nach SIA 380/1</t>
  </si>
  <si>
    <t>Als alternatives Heizsystem muss die Luft-Wasser Wärmepumpe eingegeben werden. Es kann ein zweites alternatives Heizsystem berechnet werden. Das günstigere alternative Heizsystem wird mit dem gewählten fossilen Heizsystem (Oelheizung und/oder Gasheizung) verglichen. Wenn keine Luft-Wasser Wärmepumpe möglich ist (Leistung, Platz etc.) muss dies begründet werden. In diesem Fall ist die fossile Heizung mit der nächst günstigsten Alternative zu vergleichen. Wird als alternatives System ein Anschluss an ein Fernwärmenetz geprüft, ist dies mit einem separaten Nachweis zu machen. Die für die Berechnung relevanten Parameter (Energiepreise, Diskontsatz, Lebensdauer etc.) sind gemäss Vorgaben vom Kanton zu übernehmen.</t>
  </si>
  <si>
    <t>Ist die Installation einer Luft-Wasserwärmepumpe nicht möglich (Leistung, Platz etc.) ist dies zu begründen!</t>
  </si>
  <si>
    <t>Kostennachweis für fossile Heizungen gemäss § 22 EnergieV</t>
  </si>
  <si>
    <t>Fr.</t>
  </si>
  <si>
    <r>
      <t>Fr./m</t>
    </r>
    <r>
      <rPr>
        <vertAlign val="superscript"/>
        <sz val="9"/>
        <rFont val="Arial"/>
      </rPr>
      <t>3</t>
    </r>
  </si>
  <si>
    <t xml:space="preserve">Kosten fossiler Heizung im Vergleich zu alternativer Systeme. WP-Luft ist Basis für den Vergleich und entspricht 100%. Wenn ein zweites alternatives System berechnet wird und dieses günstiger ist, bildet dieses die Basis von 100%. </t>
  </si>
  <si>
    <t>Der Durchschnitt der letzten vier Kalenderjahre bildet die Basis der Berechnung der Energiepreise für Strom, Heizoel, Erdgas und Holz sowie für den Kalkulationszinssatz. (Quellen siehe Ausführungsbestimmungen zu §7 EnergieG).</t>
  </si>
  <si>
    <t>Gemäss SIA 380/1und MINERGIE®</t>
  </si>
  <si>
    <t xml:space="preserve">Direkte Eingabe Nutzenergiebedarf gemäss Beilage (Bei bestehenden Gebäuden Energieverbrauch vergangener Jahre. Wert kann mit Jahresnutzungsgrad der bestehenden Wärmeerzeugungsanlage multipliziert werden). </t>
  </si>
  <si>
    <t>Betrachtungsdauer</t>
  </si>
  <si>
    <t>Investitionskosten Heizung und Warmwasser (Amortisationszeit 20 Jahre)</t>
  </si>
  <si>
    <t>Raumkosten (Amortisationszeit 30 Jahre)</t>
  </si>
  <si>
    <t>Wärmeerzeugung u. Warmwasseraufbereitung</t>
  </si>
  <si>
    <t>Elektrozuleitung bei WP-Anlagen prüfen !</t>
  </si>
  <si>
    <t>Investitionskosten</t>
  </si>
  <si>
    <t>Total Kapitalkosten</t>
  </si>
  <si>
    <t>3.3 20 Jahre</t>
  </si>
  <si>
    <t>4.1 40 Jahre</t>
  </si>
  <si>
    <t>5.4 30 Jahre</t>
  </si>
  <si>
    <t>Investitionskosten (Amortisationszeit 50 Jahre)</t>
  </si>
  <si>
    <t>Erdwärmesonde, Elektro-/Gaszuleitung</t>
  </si>
  <si>
    <t>Mittlere Wärmegestehungskosten</t>
  </si>
  <si>
    <t>Wärmeerzeugung und Warmwasseraufbereitung</t>
  </si>
  <si>
    <t>Kosten für Wärmeerzeuger, Speicher, Boiler, Armaturen, Leitungen und Dämmungen sowie für die Abgasanlage bei Feuerungen, Brennstofflager und Tankanlagen. Inkl. Transport und Montage.</t>
  </si>
  <si>
    <t>Kosten für Erdwärmesonden, neue Elektro- oder Gaszuleitung. Amortisationszeit 50 Jahre.</t>
  </si>
  <si>
    <t>Betrachtungsdauer für den Vergleich der Energiesysteme.</t>
  </si>
  <si>
    <t>Mittl. Wärmegestehungskosten (Nutzenergie)</t>
  </si>
  <si>
    <t>Total Raumkosten gemäss Berechnung oder gemäss Nachweis. Amortisationszeit 30 Jahre.</t>
  </si>
  <si>
    <t>Die Angaben der Investitionskosten für die Wärmeerzeugungsanlagen basieren auf Kostenschätzungen und müssen belegt werden. Wenn vorhanden sind Offerten beizulegen. Amortisationszeit 20 Jahre.</t>
  </si>
  <si>
    <t xml:space="preserve">Bauseitige Arbeiten wie Elektroinstallationen, Baumeister etc. </t>
  </si>
  <si>
    <t>Total Kosten für Wärmeerzeugungsanlagen.</t>
  </si>
  <si>
    <t>Mittlere Wärmegestehungskosten über die Betrachtungsdauer auf Stufe Nutzenergie.</t>
  </si>
  <si>
    <t xml:space="preserve"> - Energiebedarfsermittlung bei direkter Eingabe in 1.7</t>
  </si>
  <si>
    <t>WP-Absorpt.</t>
  </si>
  <si>
    <t>WP-Zeolyth</t>
  </si>
  <si>
    <t>Alternative Systeme: Eingabe WP-Luft zwingend, zweites alternatives Heizsystem kann mit Pulldown-Menü angewählt werden</t>
  </si>
  <si>
    <t>Fossile Heizung: Gasheizung/Gas-Absorptions-Wärmepumpe/Zeolyth-Wärmepumpe kann mit Pulldown-Menü angewählt werden</t>
  </si>
  <si>
    <t>Hypothekarischer Referenzzinssatz</t>
  </si>
  <si>
    <t>Fernwärme: Energiepreis + (Grundgebühren / Energiebedarf) = Gesamtenergiepreis</t>
  </si>
  <si>
    <r>
      <t xml:space="preserve">Wärmeerzeuger, Warmwassererwärmer, Regelung, Brennstofflager, Oeltank, Abgasanlage, Umwälzpumpen, Transport und Montage </t>
    </r>
    <r>
      <rPr>
        <sz val="9"/>
        <color rgb="FFFF0000"/>
        <rFont val="Arial"/>
        <family val="2"/>
      </rPr>
      <t>&gt; abzüglich Förderbeitrag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</si>
</sst>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Red]\-#,##0.00\ "/>
    <numFmt numFmtId="165" formatCode="0.0"/>
    <numFmt numFmtId="166" formatCode="0.000000000000%"/>
  </numFmts>
  <fonts count="19" x14ac:knownFonts="1">
    <font>
      <sz val="10"/>
      <name val="Arial"/>
    </font>
    <font>
      <sz val="10"/>
      <name val="Arial"/>
    </font>
    <font>
      <b/>
      <sz val="11"/>
      <name val="Arial"/>
      <family val="2"/>
    </font>
    <font>
      <sz val="9"/>
      <name val="Arial"/>
    </font>
    <font>
      <sz val="8"/>
      <name val="Arial"/>
    </font>
    <font>
      <vertAlign val="superscript"/>
      <sz val="9"/>
      <name val="Arial"/>
    </font>
    <font>
      <b/>
      <sz val="9"/>
      <name val="Arial"/>
      <family val="2"/>
    </font>
    <font>
      <sz val="9"/>
      <name val="Arial"/>
      <family val="2"/>
    </font>
    <font>
      <sz val="8"/>
      <name val="Arial"/>
      <family val="2"/>
    </font>
    <font>
      <b/>
      <sz val="9"/>
      <name val="Arial"/>
    </font>
    <font>
      <u/>
      <sz val="10"/>
      <color indexed="12"/>
      <name val="Arial"/>
    </font>
    <font>
      <i/>
      <sz val="9"/>
      <name val="Arial"/>
      <family val="2"/>
    </font>
    <font>
      <b/>
      <sz val="14"/>
      <name val="Arial"/>
      <family val="2"/>
    </font>
    <font>
      <b/>
      <sz val="12"/>
      <name val="Arial"/>
      <family val="2"/>
    </font>
    <font>
      <sz val="9"/>
      <color indexed="9"/>
      <name val="Arial"/>
      <family val="2"/>
    </font>
    <font>
      <sz val="9"/>
      <color indexed="10"/>
      <name val="Arial"/>
    </font>
    <font>
      <b/>
      <sz val="10"/>
      <name val="Arial"/>
      <family val="2"/>
    </font>
    <font>
      <sz val="10"/>
      <name val="Arial"/>
      <family val="2"/>
    </font>
    <font>
      <sz val="9"/>
      <color rgb="FFFF0000"/>
      <name val="Arial"/>
      <family val="2"/>
    </font>
  </fonts>
  <fills count="3">
    <fill>
      <patternFill patternType="none"/>
    </fill>
    <fill>
      <patternFill patternType="gray125"/>
    </fill>
    <fill>
      <patternFill patternType="solid">
        <fgColor indexed="13"/>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bottom style="thin">
        <color indexed="64"/>
      </bottom>
      <diagonal/>
    </border>
    <border>
      <left/>
      <right/>
      <top/>
      <bottom style="dashed">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120">
    <xf numFmtId="0" fontId="0" fillId="0" borderId="0" xfId="0"/>
    <xf numFmtId="0" fontId="2" fillId="0" borderId="1" xfId="0" applyFont="1" applyBorder="1"/>
    <xf numFmtId="0" fontId="2" fillId="0" borderId="0" xfId="0" applyFont="1"/>
    <xf numFmtId="0" fontId="3" fillId="0" borderId="0" xfId="0" applyFont="1"/>
    <xf numFmtId="0" fontId="0" fillId="0" borderId="0" xfId="0" applyAlignment="1">
      <alignment horizontal="center"/>
    </xf>
    <xf numFmtId="0" fontId="3" fillId="0" borderId="2" xfId="0" applyFont="1" applyBorder="1"/>
    <xf numFmtId="0" fontId="2" fillId="0" borderId="3" xfId="0" applyFont="1" applyBorder="1"/>
    <xf numFmtId="3" fontId="0" fillId="0" borderId="4" xfId="0" applyNumberForma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6" fillId="0" borderId="0" xfId="0" applyFont="1"/>
    <xf numFmtId="0" fontId="6" fillId="0" borderId="8" xfId="0" applyFont="1" applyBorder="1"/>
    <xf numFmtId="0" fontId="0" fillId="0" borderId="9" xfId="0" applyBorder="1"/>
    <xf numFmtId="0" fontId="7" fillId="0" borderId="0" xfId="0" applyFont="1"/>
    <xf numFmtId="0" fontId="3" fillId="0" borderId="10" xfId="0" applyFont="1" applyBorder="1" applyAlignment="1">
      <alignment horizontal="center"/>
    </xf>
    <xf numFmtId="0" fontId="3" fillId="0" borderId="11" xfId="0" applyFont="1" applyBorder="1"/>
    <xf numFmtId="0" fontId="3" fillId="0" borderId="12" xfId="0" applyFont="1" applyBorder="1"/>
    <xf numFmtId="0" fontId="6" fillId="0" borderId="11" xfId="0" applyFont="1" applyBorder="1"/>
    <xf numFmtId="0" fontId="6" fillId="0" borderId="2" xfId="0" applyFont="1" applyBorder="1"/>
    <xf numFmtId="0" fontId="3" fillId="0" borderId="13"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8" fillId="0" borderId="3" xfId="0" applyFont="1" applyBorder="1" applyAlignment="1">
      <alignment horizontal="right"/>
    </xf>
    <xf numFmtId="0" fontId="3" fillId="0" borderId="0" xfId="0" applyFont="1" applyAlignment="1">
      <alignment horizontal="left"/>
    </xf>
    <xf numFmtId="0" fontId="10" fillId="0" borderId="0" xfId="1" applyAlignment="1" applyProtection="1"/>
    <xf numFmtId="0" fontId="7" fillId="0" borderId="0" xfId="0" applyFont="1" applyAlignment="1">
      <alignment horizontal="center"/>
    </xf>
    <xf numFmtId="2" fontId="3" fillId="0" borderId="10" xfId="0" applyNumberFormat="1" applyFont="1" applyBorder="1" applyAlignment="1">
      <alignment horizontal="center"/>
    </xf>
    <xf numFmtId="2" fontId="3" fillId="0" borderId="14" xfId="0" applyNumberFormat="1" applyFont="1" applyBorder="1" applyAlignment="1">
      <alignment horizontal="center"/>
    </xf>
    <xf numFmtId="3" fontId="3" fillId="0" borderId="10" xfId="0" applyNumberFormat="1" applyFont="1" applyBorder="1" applyAlignment="1">
      <alignment horizontal="center"/>
    </xf>
    <xf numFmtId="3" fontId="3" fillId="0" borderId="14" xfId="0" applyNumberFormat="1" applyFont="1" applyBorder="1" applyAlignment="1">
      <alignment horizontal="center"/>
    </xf>
    <xf numFmtId="1" fontId="3" fillId="0" borderId="10" xfId="0" applyNumberFormat="1" applyFont="1" applyBorder="1" applyAlignment="1">
      <alignment horizontal="center"/>
    </xf>
    <xf numFmtId="3" fontId="3" fillId="0" borderId="13" xfId="0" applyNumberFormat="1" applyFont="1" applyBorder="1" applyAlignment="1">
      <alignment horizontal="center"/>
    </xf>
    <xf numFmtId="3" fontId="3" fillId="0" borderId="15" xfId="0" applyNumberFormat="1" applyFont="1" applyBorder="1" applyAlignment="1">
      <alignment horizontal="center"/>
    </xf>
    <xf numFmtId="2" fontId="3" fillId="0" borderId="0" xfId="0" applyNumberFormat="1" applyFont="1" applyAlignment="1">
      <alignment horizontal="center"/>
    </xf>
    <xf numFmtId="10" fontId="3" fillId="0" borderId="0" xfId="0" applyNumberFormat="1" applyFont="1" applyAlignment="1">
      <alignment horizontal="center"/>
    </xf>
    <xf numFmtId="164" fontId="3" fillId="0" borderId="0" xfId="0" applyNumberFormat="1" applyFont="1"/>
    <xf numFmtId="4" fontId="3" fillId="0" borderId="0" xfId="0" applyNumberFormat="1" applyFont="1" applyAlignment="1">
      <alignment horizontal="center"/>
    </xf>
    <xf numFmtId="0" fontId="3" fillId="0" borderId="0" xfId="0" applyFont="1" applyAlignment="1">
      <alignment wrapText="1"/>
    </xf>
    <xf numFmtId="0" fontId="12" fillId="0" borderId="0" xfId="0" applyFont="1"/>
    <xf numFmtId="0" fontId="13" fillId="0" borderId="0" xfId="0" applyFont="1"/>
    <xf numFmtId="1" fontId="0" fillId="0" borderId="0" xfId="0" applyNumberFormat="1"/>
    <xf numFmtId="0" fontId="14" fillId="0" borderId="0" xfId="0" applyFont="1"/>
    <xf numFmtId="3" fontId="0" fillId="2" borderId="16" xfId="0" applyNumberFormat="1" applyFill="1" applyBorder="1" applyAlignment="1" applyProtection="1">
      <alignment horizontal="center"/>
      <protection locked="0"/>
    </xf>
    <xf numFmtId="3" fontId="3" fillId="2" borderId="10" xfId="0" applyNumberFormat="1" applyFont="1" applyFill="1" applyBorder="1" applyAlignment="1" applyProtection="1">
      <alignment horizontal="center"/>
      <protection locked="0"/>
    </xf>
    <xf numFmtId="3" fontId="3" fillId="2" borderId="14" xfId="0" applyNumberFormat="1" applyFont="1" applyFill="1" applyBorder="1" applyAlignment="1" applyProtection="1">
      <alignment horizontal="center"/>
      <protection locked="0"/>
    </xf>
    <xf numFmtId="14" fontId="0" fillId="0" borderId="0" xfId="0" applyNumberFormat="1" applyAlignment="1">
      <alignment horizontal="left"/>
    </xf>
    <xf numFmtId="3" fontId="1" fillId="2" borderId="14" xfId="0" applyNumberFormat="1" applyFont="1" applyFill="1" applyBorder="1" applyAlignment="1" applyProtection="1">
      <alignment horizontal="center"/>
      <protection locked="0"/>
    </xf>
    <xf numFmtId="3" fontId="3" fillId="0" borderId="10" xfId="0" quotePrefix="1" applyNumberFormat="1" applyFont="1" applyBorder="1" applyAlignment="1">
      <alignment horizontal="center" wrapText="1"/>
    </xf>
    <xf numFmtId="0" fontId="2" fillId="0" borderId="3" xfId="0" applyFont="1" applyBorder="1" applyAlignment="1">
      <alignment horizontal="right"/>
    </xf>
    <xf numFmtId="0" fontId="9" fillId="0" borderId="0" xfId="0" applyFont="1"/>
    <xf numFmtId="10" fontId="15" fillId="0" borderId="0" xfId="0" applyNumberFormat="1" applyFont="1" applyAlignment="1">
      <alignment horizontal="center"/>
    </xf>
    <xf numFmtId="0" fontId="15" fillId="0" borderId="0" xfId="0" applyFont="1" applyAlignment="1">
      <alignment horizontal="center"/>
    </xf>
    <xf numFmtId="0" fontId="3" fillId="0" borderId="0" xfId="0" applyFont="1" applyAlignment="1">
      <alignment horizontal="right"/>
    </xf>
    <xf numFmtId="10" fontId="3" fillId="0" borderId="0" xfId="0" applyNumberFormat="1" applyFont="1" applyAlignment="1">
      <alignment horizontal="right"/>
    </xf>
    <xf numFmtId="0" fontId="7" fillId="0" borderId="0" xfId="0" applyFont="1" applyAlignment="1">
      <alignment wrapText="1"/>
    </xf>
    <xf numFmtId="0" fontId="0" fillId="0" borderId="0" xfId="0" applyAlignment="1">
      <alignment wrapText="1"/>
    </xf>
    <xf numFmtId="166" fontId="3" fillId="0" borderId="0" xfId="0" applyNumberFormat="1" applyFont="1"/>
    <xf numFmtId="0" fontId="3" fillId="0" borderId="0" xfId="0" quotePrefix="1" applyFont="1" applyAlignment="1">
      <alignment horizontal="center"/>
    </xf>
    <xf numFmtId="3" fontId="0" fillId="2" borderId="4" xfId="0" applyNumberFormat="1" applyFill="1" applyBorder="1" applyAlignment="1" applyProtection="1">
      <alignment horizontal="center"/>
      <protection locked="0"/>
    </xf>
    <xf numFmtId="0" fontId="3" fillId="0" borderId="17" xfId="0" applyFont="1" applyBorder="1" applyAlignment="1">
      <alignment horizontal="center"/>
    </xf>
    <xf numFmtId="0" fontId="3" fillId="2" borderId="17" xfId="0" applyFont="1" applyFill="1" applyBorder="1" applyAlignment="1" applyProtection="1">
      <alignment horizontal="center"/>
      <protection locked="0"/>
    </xf>
    <xf numFmtId="10" fontId="16" fillId="0" borderId="18" xfId="0" applyNumberFormat="1" applyFont="1" applyBorder="1" applyAlignment="1">
      <alignment horizontal="center"/>
    </xf>
    <xf numFmtId="10" fontId="16" fillId="0" borderId="13" xfId="0" applyNumberFormat="1" applyFont="1" applyBorder="1" applyAlignment="1">
      <alignment horizontal="center"/>
    </xf>
    <xf numFmtId="2" fontId="3" fillId="0" borderId="0" xfId="0" applyNumberFormat="1" applyFont="1"/>
    <xf numFmtId="3" fontId="3" fillId="0" borderId="19" xfId="0" quotePrefix="1" applyNumberFormat="1" applyFont="1" applyBorder="1" applyAlignment="1">
      <alignment horizontal="center" wrapText="1"/>
    </xf>
    <xf numFmtId="14" fontId="8" fillId="0" borderId="20" xfId="0" applyNumberFormat="1" applyFont="1" applyBorder="1" applyAlignment="1">
      <alignment horizontal="center"/>
    </xf>
    <xf numFmtId="3" fontId="0" fillId="0" borderId="14" xfId="0" applyNumberFormat="1" applyBorder="1" applyAlignment="1">
      <alignment horizontal="center"/>
    </xf>
    <xf numFmtId="17" fontId="3" fillId="0" borderId="0" xfId="0" applyNumberFormat="1" applyFont="1"/>
    <xf numFmtId="0" fontId="9" fillId="0" borderId="21" xfId="0" applyFont="1" applyBorder="1" applyAlignment="1">
      <alignment vertical="top"/>
    </xf>
    <xf numFmtId="0" fontId="3" fillId="0" borderId="21" xfId="0" applyFont="1" applyBorder="1" applyAlignment="1">
      <alignment vertical="top"/>
    </xf>
    <xf numFmtId="0" fontId="3" fillId="0" borderId="21" xfId="0" applyFont="1" applyBorder="1" applyAlignment="1">
      <alignment wrapText="1"/>
    </xf>
    <xf numFmtId="0" fontId="3" fillId="0" borderId="21" xfId="0" applyFont="1" applyBorder="1"/>
    <xf numFmtId="0" fontId="7" fillId="0" borderId="21" xfId="0" applyFont="1" applyBorder="1" applyAlignment="1">
      <alignment vertical="top"/>
    </xf>
    <xf numFmtId="0" fontId="6" fillId="0" borderId="21" xfId="0" applyFont="1" applyBorder="1" applyAlignment="1">
      <alignment vertical="top"/>
    </xf>
    <xf numFmtId="0" fontId="3" fillId="0" borderId="22" xfId="0" applyFont="1" applyBorder="1"/>
    <xf numFmtId="2" fontId="3" fillId="0" borderId="22" xfId="0" applyNumberFormat="1" applyFont="1" applyBorder="1" applyAlignment="1">
      <alignment horizontal="right"/>
    </xf>
    <xf numFmtId="2" fontId="3" fillId="0" borderId="21" xfId="0" applyNumberFormat="1" applyFont="1" applyBorder="1" applyAlignment="1">
      <alignment horizontal="right"/>
    </xf>
    <xf numFmtId="0" fontId="3" fillId="0" borderId="23" xfId="0" applyFont="1" applyBorder="1"/>
    <xf numFmtId="2" fontId="3" fillId="0" borderId="23" xfId="0" applyNumberFormat="1" applyFont="1" applyBorder="1" applyAlignment="1">
      <alignment horizontal="right"/>
    </xf>
    <xf numFmtId="3" fontId="3" fillId="0" borderId="0" xfId="0" applyNumberFormat="1" applyFont="1"/>
    <xf numFmtId="9" fontId="16" fillId="0" borderId="10" xfId="0" applyNumberFormat="1" applyFont="1" applyBorder="1" applyAlignment="1">
      <alignment horizontal="center" vertical="center" wrapText="1"/>
    </xf>
    <xf numFmtId="0" fontId="3" fillId="0" borderId="24" xfId="0" applyFont="1" applyBorder="1" applyAlignment="1">
      <alignment horizontal="center"/>
    </xf>
    <xf numFmtId="9" fontId="16" fillId="0" borderId="14" xfId="0" applyNumberFormat="1" applyFont="1" applyBorder="1" applyAlignment="1">
      <alignment horizontal="center" vertical="center" wrapText="1"/>
    </xf>
    <xf numFmtId="165" fontId="7" fillId="0" borderId="24" xfId="0" applyNumberFormat="1" applyFont="1" applyBorder="1" applyAlignment="1">
      <alignment horizontal="center" vertical="center" wrapText="1"/>
    </xf>
    <xf numFmtId="165" fontId="7" fillId="0" borderId="25" xfId="0" applyNumberFormat="1" applyFont="1" applyBorder="1" applyAlignment="1">
      <alignment horizontal="center" vertical="center" wrapText="1"/>
    </xf>
    <xf numFmtId="165" fontId="7" fillId="0" borderId="26" xfId="0" applyNumberFormat="1" applyFont="1" applyBorder="1" applyAlignment="1">
      <alignment horizontal="center"/>
    </xf>
    <xf numFmtId="0" fontId="7" fillId="2" borderId="17" xfId="0" applyFont="1" applyFill="1" applyBorder="1" applyAlignment="1" applyProtection="1">
      <alignment horizontal="center"/>
      <protection locked="0"/>
    </xf>
    <xf numFmtId="0" fontId="0" fillId="0" borderId="27" xfId="0" applyBorder="1"/>
    <xf numFmtId="1" fontId="3" fillId="0" borderId="14" xfId="0" applyNumberFormat="1" applyFont="1" applyBorder="1" applyAlignment="1">
      <alignment horizontal="center"/>
    </xf>
    <xf numFmtId="4" fontId="3" fillId="2" borderId="10" xfId="0" applyNumberFormat="1" applyFont="1" applyFill="1" applyBorder="1" applyAlignment="1" applyProtection="1">
      <alignment horizontal="center"/>
      <protection locked="0"/>
    </xf>
    <xf numFmtId="0" fontId="18" fillId="0" borderId="0" xfId="0" applyFont="1"/>
    <xf numFmtId="0" fontId="6" fillId="0" borderId="8" xfId="0" applyFont="1" applyBorder="1"/>
    <xf numFmtId="0" fontId="0" fillId="0" borderId="28" xfId="0" applyBorder="1"/>
    <xf numFmtId="0" fontId="0" fillId="0" borderId="29" xfId="0" applyBorder="1"/>
    <xf numFmtId="0" fontId="3" fillId="0" borderId="2" xfId="0" applyFont="1" applyBorder="1"/>
    <xf numFmtId="0" fontId="0" fillId="0" borderId="21" xfId="0" applyBorder="1"/>
    <xf numFmtId="0" fontId="0" fillId="0" borderId="30" xfId="0" applyBorder="1"/>
    <xf numFmtId="0" fontId="3" fillId="0" borderId="31" xfId="0" applyFont="1" applyBorder="1"/>
    <xf numFmtId="0" fontId="0" fillId="0" borderId="32" xfId="0" applyBorder="1"/>
    <xf numFmtId="0" fontId="0" fillId="0" borderId="33" xfId="0" applyBorder="1"/>
    <xf numFmtId="0" fontId="6" fillId="0" borderId="2" xfId="0" applyFont="1" applyBorder="1"/>
    <xf numFmtId="0" fontId="0" fillId="0" borderId="19" xfId="0" applyBorder="1"/>
    <xf numFmtId="0" fontId="2" fillId="0" borderId="1" xfId="0" applyFont="1" applyBorder="1"/>
    <xf numFmtId="0" fontId="0" fillId="0" borderId="34" xfId="0" applyBorder="1"/>
    <xf numFmtId="0" fontId="0" fillId="0" borderId="3" xfId="0" applyBorder="1"/>
    <xf numFmtId="0" fontId="0" fillId="0" borderId="20" xfId="0" applyBorder="1"/>
    <xf numFmtId="0" fontId="6" fillId="0" borderId="3" xfId="0" applyFont="1" applyBorder="1" applyAlignment="1">
      <alignment horizontal="center"/>
    </xf>
    <xf numFmtId="0" fontId="3" fillId="2" borderId="1" xfId="0" applyFont="1" applyFill="1" applyBorder="1" applyAlignment="1" applyProtection="1">
      <alignment horizontal="center"/>
      <protection locked="0"/>
    </xf>
    <xf numFmtId="0" fontId="0" fillId="2" borderId="20" xfId="0" applyFill="1" applyBorder="1" applyProtection="1">
      <protection locked="0"/>
    </xf>
    <xf numFmtId="0" fontId="17" fillId="2" borderId="35" xfId="0" applyFont="1" applyFill="1" applyBorder="1" applyAlignment="1" applyProtection="1">
      <alignment horizontal="left"/>
      <protection locked="0"/>
    </xf>
    <xf numFmtId="0" fontId="17" fillId="2" borderId="36" xfId="0" applyFont="1" applyFill="1" applyBorder="1" applyAlignment="1" applyProtection="1">
      <alignment horizontal="left"/>
      <protection locked="0"/>
    </xf>
    <xf numFmtId="0" fontId="17" fillId="2" borderId="37" xfId="0" applyFont="1" applyFill="1" applyBorder="1" applyAlignment="1" applyProtection="1">
      <alignment horizontal="left"/>
      <protection locked="0"/>
    </xf>
    <xf numFmtId="0" fontId="0" fillId="2" borderId="31" xfId="0" applyFill="1" applyBorder="1" applyAlignment="1" applyProtection="1">
      <alignment horizontal="left"/>
      <protection locked="0"/>
    </xf>
    <xf numFmtId="0" fontId="0" fillId="2" borderId="32" xfId="0" applyFill="1" applyBorder="1" applyAlignment="1" applyProtection="1">
      <alignment horizontal="left"/>
      <protection locked="0"/>
    </xf>
    <xf numFmtId="0" fontId="0" fillId="2" borderId="18" xfId="0" applyFill="1" applyBorder="1" applyAlignment="1" applyProtection="1">
      <alignment horizontal="left"/>
      <protection locked="0"/>
    </xf>
    <xf numFmtId="0" fontId="7" fillId="0" borderId="0" xfId="0" applyFont="1" applyAlignment="1">
      <alignment wrapText="1"/>
    </xf>
    <xf numFmtId="0" fontId="0" fillId="0" borderId="0" xfId="0" applyAlignment="1">
      <alignment wrapText="1"/>
    </xf>
    <xf numFmtId="0" fontId="7" fillId="0" borderId="0" xfId="0" applyFont="1" applyAlignment="1">
      <alignment vertical="top" wrapText="1"/>
    </xf>
    <xf numFmtId="0" fontId="0" fillId="0" borderId="0" xfId="0" applyAlignment="1">
      <alignment vertical="top" wrapText="1"/>
    </xf>
  </cellXfs>
  <cellStyles count="2">
    <cellStyle name="Link" xfId="1" builtinId="8"/>
    <cellStyle name="Standard" xfId="0" builtinId="0"/>
  </cellStyles>
  <dxfs count="5">
    <dxf>
      <fill>
        <patternFill>
          <bgColor indexed="11"/>
        </patternFill>
      </fill>
    </dxf>
    <dxf>
      <fill>
        <patternFill>
          <bgColor indexed="10"/>
        </patternFill>
      </fill>
    </dxf>
    <dxf>
      <fill>
        <patternFill>
          <bgColor indexed="34"/>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9525</xdr:colOff>
      <xdr:row>2</xdr:row>
      <xdr:rowOff>47625</xdr:rowOff>
    </xdr:to>
    <xdr:pic>
      <xdr:nvPicPr>
        <xdr:cNvPr id="1306" name="Picture 109" descr="ktag_logo_schwarz_65">
          <a:extLst>
            <a:ext uri="{FF2B5EF4-FFF2-40B4-BE49-F238E27FC236}">
              <a16:creationId xmlns:a16="http://schemas.microsoft.com/office/drawing/2014/main" id="{F97FF555-47C9-6395-9A4E-516A45BF0E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14950" y="0"/>
          <a:ext cx="7810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247650</xdr:colOff>
      <xdr:row>42</xdr:row>
      <xdr:rowOff>114300</xdr:rowOff>
    </xdr:to>
    <xdr:pic>
      <xdr:nvPicPr>
        <xdr:cNvPr id="2448" name="Picture 1">
          <a:extLst>
            <a:ext uri="{FF2B5EF4-FFF2-40B4-BE49-F238E27FC236}">
              <a16:creationId xmlns:a16="http://schemas.microsoft.com/office/drawing/2014/main" id="{329DCD9A-F0D3-AD7C-018A-30AE74C9E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19650" cy="69151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0</xdr:colOff>
      <xdr:row>43</xdr:row>
      <xdr:rowOff>0</xdr:rowOff>
    </xdr:from>
    <xdr:to>
      <xdr:col>6</xdr:col>
      <xdr:colOff>238125</xdr:colOff>
      <xdr:row>80</xdr:row>
      <xdr:rowOff>114300</xdr:rowOff>
    </xdr:to>
    <xdr:pic>
      <xdr:nvPicPr>
        <xdr:cNvPr id="2449" name="Picture 2">
          <a:extLst>
            <a:ext uri="{FF2B5EF4-FFF2-40B4-BE49-F238E27FC236}">
              <a16:creationId xmlns:a16="http://schemas.microsoft.com/office/drawing/2014/main" id="{32F5D0B6-B7F4-AD27-70D3-9FA53CB1B0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962775"/>
          <a:ext cx="4810125" cy="61055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0</xdr:colOff>
      <xdr:row>81</xdr:row>
      <xdr:rowOff>0</xdr:rowOff>
    </xdr:from>
    <xdr:to>
      <xdr:col>6</xdr:col>
      <xdr:colOff>152400</xdr:colOff>
      <xdr:row>91</xdr:row>
      <xdr:rowOff>9525</xdr:rowOff>
    </xdr:to>
    <xdr:pic>
      <xdr:nvPicPr>
        <xdr:cNvPr id="2450" name="Picture 3">
          <a:extLst>
            <a:ext uri="{FF2B5EF4-FFF2-40B4-BE49-F238E27FC236}">
              <a16:creationId xmlns:a16="http://schemas.microsoft.com/office/drawing/2014/main" id="{9FE07C3E-327E-A2CE-BB03-28CBA05A527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3115925"/>
          <a:ext cx="4724400" cy="16287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bfs.admin.ch/bfs/portal/de/index/themen/05/04/blank/data/03.html" TargetMode="External"/><Relationship Id="rId2" Type="http://schemas.openxmlformats.org/officeDocument/2006/relationships/hyperlink" Target="http://www.bfs.admin.ch/bfs/portal/de/index/themen/05/02/blank/data.html" TargetMode="External"/><Relationship Id="rId1" Type="http://schemas.openxmlformats.org/officeDocument/2006/relationships/hyperlink" Target="http://www.strompreis.elcom.admin.ch/Map/ShowSwissMap.aspx"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14"/>
  <sheetViews>
    <sheetView showGridLines="0" showZeros="0" tabSelected="1" zoomScaleNormal="100" workbookViewId="0">
      <selection activeCell="B5" sqref="B5:H5"/>
    </sheetView>
  </sheetViews>
  <sheetFormatPr baseColWidth="10" defaultRowHeight="13.5" customHeight="1" x14ac:dyDescent="0.2"/>
  <cols>
    <col min="1" max="1" width="3.85546875" customWidth="1"/>
    <col min="2" max="2" width="34.7109375" customWidth="1"/>
    <col min="3" max="3" width="6.7109375" customWidth="1"/>
    <col min="4" max="5" width="11.28515625" customWidth="1"/>
    <col min="6" max="8" width="11.5703125" customWidth="1"/>
    <col min="9" max="9" width="4.7109375" customWidth="1"/>
    <col min="10" max="10" width="15" style="3" customWidth="1"/>
    <col min="11" max="12" width="11.42578125" style="3" customWidth="1"/>
    <col min="13" max="13" width="23.28515625" style="3" bestFit="1" customWidth="1"/>
    <col min="14" max="15" width="11.42578125" style="3" customWidth="1"/>
  </cols>
  <sheetData>
    <row r="1" spans="1:10" ht="13.5" customHeight="1" x14ac:dyDescent="0.25">
      <c r="B1" s="2" t="s">
        <v>181</v>
      </c>
    </row>
    <row r="4" spans="1:10" ht="13.5" customHeight="1" x14ac:dyDescent="0.25">
      <c r="B4" s="1" t="str">
        <f ca="1">IF(H4&lt;B61,"Achtung Formular nicht mehr gültig","Projekt ")</f>
        <v xml:space="preserve">Projekt </v>
      </c>
      <c r="C4" s="6"/>
      <c r="D4" s="49"/>
      <c r="E4" s="49"/>
      <c r="F4" s="6"/>
      <c r="G4" s="23" t="s">
        <v>69</v>
      </c>
      <c r="H4" s="66">
        <v>46477</v>
      </c>
    </row>
    <row r="5" spans="1:10" ht="13.5" customHeight="1" x14ac:dyDescent="0.2">
      <c r="B5" s="110"/>
      <c r="C5" s="111"/>
      <c r="D5" s="111"/>
      <c r="E5" s="111"/>
      <c r="F5" s="111"/>
      <c r="G5" s="111"/>
      <c r="H5" s="112"/>
      <c r="J5" s="3" t="s">
        <v>166</v>
      </c>
    </row>
    <row r="6" spans="1:10" ht="13.5" customHeight="1" x14ac:dyDescent="0.2">
      <c r="B6" s="113"/>
      <c r="C6" s="114"/>
      <c r="D6" s="114"/>
      <c r="E6" s="114"/>
      <c r="F6" s="114"/>
      <c r="G6" s="114"/>
      <c r="H6" s="115"/>
      <c r="J6" s="3" t="s">
        <v>167</v>
      </c>
    </row>
    <row r="7" spans="1:10" ht="6" customHeight="1" x14ac:dyDescent="0.2"/>
    <row r="8" spans="1:10" ht="13.5" customHeight="1" x14ac:dyDescent="0.25">
      <c r="A8" s="11">
        <v>1</v>
      </c>
      <c r="B8" s="103" t="s">
        <v>0</v>
      </c>
      <c r="C8" s="105"/>
      <c r="D8" s="105"/>
      <c r="E8" s="105"/>
      <c r="F8" s="105"/>
      <c r="G8" s="105"/>
      <c r="H8" s="106"/>
    </row>
    <row r="9" spans="1:10" ht="12.95" customHeight="1" x14ac:dyDescent="0.2">
      <c r="A9" s="3">
        <v>1.1000000000000001</v>
      </c>
      <c r="B9" s="95" t="s">
        <v>1</v>
      </c>
      <c r="C9" s="96"/>
      <c r="D9" s="96"/>
      <c r="E9" s="96"/>
      <c r="F9" s="96"/>
      <c r="G9" s="108"/>
      <c r="H9" s="109"/>
      <c r="J9" s="3" t="s">
        <v>168</v>
      </c>
    </row>
    <row r="10" spans="1:10" ht="12.95" customHeight="1" x14ac:dyDescent="0.2">
      <c r="A10" s="3">
        <v>1.2</v>
      </c>
      <c r="B10" s="95" t="s">
        <v>171</v>
      </c>
      <c r="C10" s="96"/>
      <c r="D10" s="96"/>
      <c r="E10" s="96"/>
      <c r="F10" s="97"/>
      <c r="G10" s="108"/>
      <c r="H10" s="109"/>
      <c r="J10" s="3" t="s">
        <v>176</v>
      </c>
    </row>
    <row r="11" spans="1:10" ht="12.95" customHeight="1" x14ac:dyDescent="0.2">
      <c r="A11" s="3">
        <v>1.3</v>
      </c>
      <c r="B11" s="95" t="s">
        <v>2</v>
      </c>
      <c r="C11" s="96"/>
      <c r="D11" s="96"/>
      <c r="E11" s="96"/>
      <c r="F11" s="97"/>
      <c r="G11" s="9" t="s">
        <v>12</v>
      </c>
      <c r="H11" s="59"/>
      <c r="J11" s="3" t="s">
        <v>164</v>
      </c>
    </row>
    <row r="12" spans="1:10" ht="12.95" customHeight="1" x14ac:dyDescent="0.2">
      <c r="A12" s="3">
        <v>1.4</v>
      </c>
      <c r="B12" s="95" t="s">
        <v>3</v>
      </c>
      <c r="C12" s="96"/>
      <c r="D12" s="96"/>
      <c r="E12" s="96"/>
      <c r="F12" s="97"/>
      <c r="G12" s="8" t="s">
        <v>7</v>
      </c>
      <c r="H12" s="47"/>
      <c r="J12" s="3" t="s">
        <v>151</v>
      </c>
    </row>
    <row r="13" spans="1:10" ht="12.95" customHeight="1" x14ac:dyDescent="0.2">
      <c r="A13" s="3">
        <v>1.5</v>
      </c>
      <c r="B13" s="95" t="s">
        <v>4</v>
      </c>
      <c r="C13" s="96"/>
      <c r="D13" s="96"/>
      <c r="E13" s="96"/>
      <c r="F13" s="97"/>
      <c r="G13" s="8" t="s">
        <v>13</v>
      </c>
      <c r="H13" s="67" t="str">
        <f>IF(ISERROR(VLOOKUP(G9,B97:C108,2))," ",(VLOOKUP(G9,B97:C108,2)))</f>
        <v xml:space="preserve"> </v>
      </c>
    </row>
    <row r="14" spans="1:10" ht="12.95" customHeight="1" x14ac:dyDescent="0.2">
      <c r="A14" s="3">
        <v>1.6</v>
      </c>
      <c r="B14" s="95" t="s">
        <v>5</v>
      </c>
      <c r="C14" s="96"/>
      <c r="D14" s="96"/>
      <c r="E14" s="96"/>
      <c r="F14" s="97"/>
      <c r="G14" s="9" t="s">
        <v>8</v>
      </c>
      <c r="H14" s="7" t="str">
        <f>IF(ISERROR(SUM(H12*C63*C64)/(C65-(C66))+(H11*(H13/3.6)))," ",(SUM(H12*C63*C64)/(C65-(C66))+(H11*(H13/3.6))))</f>
        <v xml:space="preserve"> </v>
      </c>
    </row>
    <row r="15" spans="1:10" ht="12.95" customHeight="1" x14ac:dyDescent="0.2">
      <c r="A15" s="3">
        <v>1.7</v>
      </c>
      <c r="B15" s="98" t="s">
        <v>6</v>
      </c>
      <c r="C15" s="99"/>
      <c r="D15" s="99"/>
      <c r="E15" s="99"/>
      <c r="F15" s="100"/>
      <c r="G15" s="10" t="s">
        <v>8</v>
      </c>
      <c r="H15" s="43"/>
      <c r="J15" s="3" t="s">
        <v>153</v>
      </c>
    </row>
    <row r="16" spans="1:10" ht="16.5" customHeight="1" x14ac:dyDescent="0.2">
      <c r="D16" s="107" t="s">
        <v>44</v>
      </c>
      <c r="E16" s="107"/>
      <c r="F16" s="107"/>
      <c r="G16" s="107" t="s">
        <v>45</v>
      </c>
      <c r="H16" s="107"/>
    </row>
    <row r="17" spans="1:13" ht="13.5" customHeight="1" x14ac:dyDescent="0.25">
      <c r="B17" s="1" t="s">
        <v>9</v>
      </c>
      <c r="C17" s="21"/>
      <c r="D17" s="60" t="s">
        <v>52</v>
      </c>
      <c r="E17" s="60" t="s">
        <v>55</v>
      </c>
      <c r="F17" s="61"/>
      <c r="G17" s="60" t="s">
        <v>10</v>
      </c>
      <c r="H17" s="87"/>
      <c r="J17" s="3" t="s">
        <v>214</v>
      </c>
    </row>
    <row r="18" spans="1:13" ht="18" customHeight="1" x14ac:dyDescent="0.2">
      <c r="A18" s="11">
        <v>2</v>
      </c>
      <c r="B18" s="101" t="s">
        <v>46</v>
      </c>
      <c r="C18" s="96"/>
      <c r="D18" s="96"/>
      <c r="E18" s="96"/>
      <c r="F18" s="96"/>
      <c r="G18" s="96"/>
      <c r="H18" s="102"/>
      <c r="J18" s="3" t="s">
        <v>215</v>
      </c>
      <c r="M18" s="50"/>
    </row>
    <row r="19" spans="1:13" ht="12.95" customHeight="1" x14ac:dyDescent="0.2">
      <c r="A19" s="3">
        <v>2.1</v>
      </c>
      <c r="B19" s="16" t="s">
        <v>62</v>
      </c>
      <c r="C19" s="15" t="s">
        <v>42</v>
      </c>
      <c r="D19" s="27" t="str">
        <f>IF(ISERROR(VLOOKUP(G10,K123:L124,2))," ",VLOOKUP(G10,K123:L124,2))</f>
        <v xml:space="preserve"> </v>
      </c>
      <c r="E19" s="27">
        <v>1</v>
      </c>
      <c r="F19" s="27" t="str">
        <f>IF(ISERROR(VLOOKUP(F17,B113:H118,3))," ",VLOOKUP(F17,B113:H118,3))</f>
        <v xml:space="preserve"> </v>
      </c>
      <c r="G19" s="27">
        <f>H130</f>
        <v>0.91</v>
      </c>
      <c r="H19" s="28" t="str">
        <f>IF(ISERROR(VLOOKUP(H17,B132:H134,7))," ",VLOOKUP(H17,B132:H134,7))</f>
        <v xml:space="preserve"> </v>
      </c>
      <c r="I19" s="88"/>
    </row>
    <row r="20" spans="1:13" ht="12.95" customHeight="1" x14ac:dyDescent="0.2">
      <c r="A20" s="3">
        <v>2.2000000000000002</v>
      </c>
      <c r="B20" s="17" t="s">
        <v>14</v>
      </c>
      <c r="C20" s="15" t="s">
        <v>8</v>
      </c>
      <c r="D20" s="29" t="str">
        <f>IF(ISERROR(IF($H15&gt;0,$H15,$H14)/D19)," ",(IF($H15&gt;0,$H15,$H14)/D19))</f>
        <v xml:space="preserve"> </v>
      </c>
      <c r="E20" s="29" t="str">
        <f>IF(ISERROR(IF($H15&gt;0,$H15,$H14)/E19)," ",(IF($H15&gt;0,$H15,$H14)/E19))</f>
        <v xml:space="preserve"> </v>
      </c>
      <c r="F20" s="29" t="str">
        <f>IF(ISERROR(IF($H15&gt;0,$H15,$H14)/F19)," ",(IF($H15&gt;0,$H15,$H14)/F19))</f>
        <v xml:space="preserve"> </v>
      </c>
      <c r="G20" s="29" t="str">
        <f>IF(ISERROR(IF($H15&gt;0,$H15,$H14)/G19)," ",(IF($H15&gt;0,$H15,$H14)/G19))</f>
        <v xml:space="preserve"> </v>
      </c>
      <c r="H20" s="29" t="str">
        <f>IF(ISERROR(IF($H15&gt;0,$H15,$H14)/H19)," ",(IF($H15&gt;0,$H15,$H14)/H19))</f>
        <v xml:space="preserve"> </v>
      </c>
      <c r="I20" s="88"/>
      <c r="J20" s="3" t="s">
        <v>180</v>
      </c>
    </row>
    <row r="21" spans="1:13" ht="12.95" customHeight="1" x14ac:dyDescent="0.2">
      <c r="A21" s="3">
        <v>2.2999999999999998</v>
      </c>
      <c r="B21" s="16" t="s">
        <v>15</v>
      </c>
      <c r="C21" s="15" t="s">
        <v>43</v>
      </c>
      <c r="D21" s="27">
        <f>J140</f>
        <v>25.157500000000002</v>
      </c>
      <c r="E21" s="90"/>
      <c r="F21" s="27" t="str">
        <f>IF(ISERROR(VLOOKUP(F17,B113:H118,5))," ",(VLOOKUP(F17,B113:H118,5)))</f>
        <v xml:space="preserve"> </v>
      </c>
      <c r="G21" s="27">
        <f>J144</f>
        <v>11.3575</v>
      </c>
      <c r="H21" s="28">
        <f>J145</f>
        <v>15.177499999999998</v>
      </c>
      <c r="J21" s="91" t="s">
        <v>217</v>
      </c>
    </row>
    <row r="22" spans="1:13" ht="13.5" customHeight="1" x14ac:dyDescent="0.2">
      <c r="A22" s="3">
        <v>2.4</v>
      </c>
      <c r="B22" s="18" t="s">
        <v>16</v>
      </c>
      <c r="C22" s="15" t="s">
        <v>182</v>
      </c>
      <c r="D22" s="29" t="str">
        <f>IF(ISERROR(SUM(D20*D21)/100)," ",(SUM(D20*D21)/100))</f>
        <v xml:space="preserve"> </v>
      </c>
      <c r="E22" s="29" t="str">
        <f>IF(ISERROR(SUM(E20*E21)/100)," ",(SUM(E20*E21)/100))</f>
        <v xml:space="preserve"> </v>
      </c>
      <c r="F22" s="29" t="str">
        <f>IF(ISERROR(SUM(F20*F21)/100)," ",(SUM(F20*F21)/100))</f>
        <v xml:space="preserve"> </v>
      </c>
      <c r="G22" s="29" t="str">
        <f>IF(ISERROR(SUM(G20*G21)/100)," ",(SUM(G20*G21)/100))</f>
        <v xml:space="preserve"> </v>
      </c>
      <c r="H22" s="30" t="str">
        <f>IF(ISERROR(SUM(H20*H21)/100)," ",(SUM(H20*H21)/100))</f>
        <v xml:space="preserve"> </v>
      </c>
    </row>
    <row r="23" spans="1:13" ht="18" customHeight="1" x14ac:dyDescent="0.2">
      <c r="A23" s="11">
        <v>3</v>
      </c>
      <c r="B23" s="101" t="s">
        <v>189</v>
      </c>
      <c r="C23" s="96"/>
      <c r="D23" s="96"/>
      <c r="E23" s="96"/>
      <c r="F23" s="96"/>
      <c r="G23" s="96"/>
      <c r="H23" s="102"/>
    </row>
    <row r="24" spans="1:13" ht="12.95" customHeight="1" x14ac:dyDescent="0.2">
      <c r="A24" s="3">
        <v>3.1</v>
      </c>
      <c r="B24" s="5" t="s">
        <v>191</v>
      </c>
      <c r="C24" s="15" t="s">
        <v>182</v>
      </c>
      <c r="D24" s="44"/>
      <c r="E24" s="44"/>
      <c r="F24" s="44"/>
      <c r="G24" s="44"/>
      <c r="H24" s="45"/>
      <c r="J24" s="14" t="s">
        <v>218</v>
      </c>
    </row>
    <row r="25" spans="1:13" ht="12.95" customHeight="1" x14ac:dyDescent="0.2">
      <c r="A25" s="3">
        <v>3.2</v>
      </c>
      <c r="B25" s="5" t="s">
        <v>169</v>
      </c>
      <c r="C25" s="15" t="s">
        <v>182</v>
      </c>
      <c r="D25" s="44"/>
      <c r="E25" s="44"/>
      <c r="F25" s="44"/>
      <c r="G25" s="44"/>
      <c r="H25" s="45"/>
    </row>
    <row r="26" spans="1:13" ht="13.5" customHeight="1" x14ac:dyDescent="0.2">
      <c r="A26" s="3">
        <v>3.3</v>
      </c>
      <c r="B26" s="19" t="s">
        <v>17</v>
      </c>
      <c r="C26" s="15" t="s">
        <v>182</v>
      </c>
      <c r="D26" s="29">
        <f>SUM(D24:D25)</f>
        <v>0</v>
      </c>
      <c r="E26" s="29">
        <f>SUM(E24:E25)</f>
        <v>0</v>
      </c>
      <c r="F26" s="29">
        <f>SUM(F24:F25)</f>
        <v>0</v>
      </c>
      <c r="G26" s="29">
        <f>SUM(G24:G25)</f>
        <v>0</v>
      </c>
      <c r="H26" s="30">
        <f>SUM(H24:H25)</f>
        <v>0</v>
      </c>
    </row>
    <row r="27" spans="1:13" ht="18" customHeight="1" x14ac:dyDescent="0.2">
      <c r="A27" s="11">
        <v>4</v>
      </c>
      <c r="B27" s="101" t="s">
        <v>198</v>
      </c>
      <c r="C27" s="96"/>
      <c r="D27" s="96"/>
      <c r="E27" s="96"/>
      <c r="F27" s="96"/>
      <c r="G27" s="96"/>
      <c r="H27" s="102"/>
    </row>
    <row r="28" spans="1:13" ht="12.95" customHeight="1" x14ac:dyDescent="0.2">
      <c r="A28" s="3">
        <v>4.0999999999999996</v>
      </c>
      <c r="B28" s="5" t="s">
        <v>199</v>
      </c>
      <c r="C28" s="15" t="s">
        <v>182</v>
      </c>
      <c r="D28" s="44"/>
      <c r="E28" s="44">
        <v>0</v>
      </c>
      <c r="F28" s="44"/>
      <c r="G28" s="44"/>
      <c r="H28" s="45"/>
      <c r="J28" s="3" t="s">
        <v>192</v>
      </c>
    </row>
    <row r="29" spans="1:13" ht="18" customHeight="1" x14ac:dyDescent="0.2">
      <c r="A29" s="11">
        <v>5</v>
      </c>
      <c r="B29" s="101" t="s">
        <v>190</v>
      </c>
      <c r="C29" s="96"/>
      <c r="D29" s="96"/>
      <c r="E29" s="96"/>
      <c r="F29" s="96"/>
      <c r="G29" s="96"/>
      <c r="H29" s="102"/>
    </row>
    <row r="30" spans="1:13" ht="12.95" customHeight="1" x14ac:dyDescent="0.2">
      <c r="A30" s="3">
        <v>5.0999999999999996</v>
      </c>
      <c r="B30" s="5" t="s">
        <v>102</v>
      </c>
      <c r="C30" s="15" t="s">
        <v>38</v>
      </c>
      <c r="D30" s="48" t="str">
        <f>IF(D26=0," ",IF(OR($H$12&lt;25,$H$12&lt;=25),$D$174,IF(AND($H$12&gt;25,$H$12&lt;=50),$F$174,IF(AND($H$12&gt;50,$H$12&lt;=120),$G$174,IF(AND($H$12&gt;120,$H$12&lt;=500),$H$174,IF($H$12&gt;500,$J$174))))))</f>
        <v xml:space="preserve"> </v>
      </c>
      <c r="E30" s="48" t="str">
        <f>IF(E26=0," ",IF(OR($H$12&lt;25,$H$12&lt;=25),$D$174,IF(AND($H$12&gt;25,$H$12&lt;=50),$F$174,IF(AND($H$12&gt;50,$H$12&lt;=120),$G$174,IF(AND($H$12&gt;120,$H$12&lt;=500),$H$174,IF($H$12&gt;500,$J$174))))))</f>
        <v xml:space="preserve"> </v>
      </c>
      <c r="F30" s="48" t="str">
        <f>IF(ISERROR(VLOOKUP(F17,B113:H118,5))," ",VLOOKUP(F17,B113:H118,5))</f>
        <v xml:space="preserve"> </v>
      </c>
      <c r="G30" s="48" t="str">
        <f>IF(G26=0," ",IF(G26=0," ",IF(OR($H$12&lt;25,$H$12&lt;=25),$D$174,IF(AND($H$12&gt;25,$H$12&lt;=50),$F$174,IF(AND($H$12&gt;50,$H$12&lt;=120),$G$174,IF(AND($H$12&gt;120,$H$12&lt;=500),$H$174,IF($H$12&gt;500,$J$174)))))+IF(OR($H$12&lt;25,$H$12&lt;=25),$H$12*$D$181,IF(AND($H$12&gt;25,$H$12&lt;=50),H12*$F$181,IF(AND($H$12&gt;50,$H$12&lt;=120),$H$12*$G$181,IF(AND($H$12&gt;120,$H$12&lt;=500),$H$12*$H$181,IF($H$12&gt;500,H12*$J$181)))))))</f>
        <v xml:space="preserve"> </v>
      </c>
      <c r="H30" s="65" t="str">
        <f>IF(H26=0," ",IF(H26=0," ",IF(OR($H$12&lt;25,$H$12&lt;=25),$D$174,IF(AND($H$12&gt;25,$H$12&lt;=50),$F$174,IF(AND($H$12&gt;50,$H$12&lt;=120),$G$174,IF(AND($H$12&gt;120,$H$12&lt;=500),$H$174,IF($H$12&gt;500,$J$174)))))))</f>
        <v xml:space="preserve"> </v>
      </c>
    </row>
    <row r="31" spans="1:13" ht="12.95" customHeight="1" x14ac:dyDescent="0.2">
      <c r="A31" s="3">
        <v>5.2</v>
      </c>
      <c r="B31" s="5" t="s">
        <v>18</v>
      </c>
      <c r="C31" s="15" t="s">
        <v>38</v>
      </c>
      <c r="D31" s="44"/>
      <c r="E31" s="44"/>
      <c r="F31" s="44"/>
      <c r="G31" s="44"/>
      <c r="H31" s="45"/>
      <c r="J31" s="3" t="s">
        <v>154</v>
      </c>
    </row>
    <row r="32" spans="1:13" ht="12.95" customHeight="1" x14ac:dyDescent="0.2">
      <c r="A32" s="3">
        <v>5.3</v>
      </c>
      <c r="B32" s="5" t="s">
        <v>70</v>
      </c>
      <c r="C32" s="15" t="s">
        <v>183</v>
      </c>
      <c r="D32" s="29">
        <f>$C$161</f>
        <v>300</v>
      </c>
      <c r="E32" s="29">
        <f>$C$161</f>
        <v>300</v>
      </c>
      <c r="F32" s="29">
        <f>$C$161</f>
        <v>300</v>
      </c>
      <c r="G32" s="29">
        <f>$C$161</f>
        <v>300</v>
      </c>
      <c r="H32" s="30">
        <f>$C$161</f>
        <v>300</v>
      </c>
    </row>
    <row r="33" spans="1:10" ht="13.5" customHeight="1" x14ac:dyDescent="0.2">
      <c r="A33" s="3">
        <v>5.4</v>
      </c>
      <c r="B33" s="19" t="s">
        <v>20</v>
      </c>
      <c r="C33" s="15" t="s">
        <v>182</v>
      </c>
      <c r="D33" s="29" t="str">
        <f>IF(ISERROR(IF(D31&gt;0,D31,D30)*D32)," ",(IF(D31&gt;0,D31,D30)*D32))</f>
        <v xml:space="preserve"> </v>
      </c>
      <c r="E33" s="29" t="str">
        <f>IF(ISERROR(IF(E31&gt;0,E31,E30)*E32)," ",(IF(E31&gt;0,E31,E30)*E32))</f>
        <v xml:space="preserve"> </v>
      </c>
      <c r="F33" s="29" t="str">
        <f>IF(ISERROR(IF(F31&gt;0,F31,F30)*F32)," ",(IF(F31&gt;0,F31,F30)*F32))</f>
        <v xml:space="preserve"> </v>
      </c>
      <c r="G33" s="29" t="str">
        <f>IF(ISERROR(IF(G31&gt;0,G31,G30)*G32)," ",(IF(G31&gt;0,G31,G30)*G32))</f>
        <v xml:space="preserve"> </v>
      </c>
      <c r="H33" s="30" t="str">
        <f>IF(ISERROR(IF(H31&gt;0,H31,H30)*H32)," ",(IF(H31&gt;0,H31,H30)*H32))</f>
        <v xml:space="preserve"> </v>
      </c>
    </row>
    <row r="34" spans="1:10" ht="18" customHeight="1" x14ac:dyDescent="0.2">
      <c r="A34" s="11">
        <v>6</v>
      </c>
      <c r="B34" s="101" t="s">
        <v>21</v>
      </c>
      <c r="C34" s="96"/>
      <c r="D34" s="96"/>
      <c r="E34" s="96"/>
      <c r="F34" s="96"/>
      <c r="G34" s="96"/>
      <c r="H34" s="102"/>
    </row>
    <row r="35" spans="1:10" ht="12.95" customHeight="1" x14ac:dyDescent="0.2">
      <c r="A35" s="3">
        <v>6.1</v>
      </c>
      <c r="B35" s="5" t="s">
        <v>22</v>
      </c>
      <c r="C35" s="15" t="s">
        <v>182</v>
      </c>
      <c r="D35" s="29">
        <f>SUM(D26/100*C150)</f>
        <v>0</v>
      </c>
      <c r="E35" s="29">
        <f>SUM(E26/100*C150)</f>
        <v>0</v>
      </c>
      <c r="F35" s="29" t="str">
        <f>IF(ISERROR(VLOOKUP(F17,B113:H118,7)/100*F26)," ",(VLOOKUP(F17,B113:H118,7)/100*F26))</f>
        <v xml:space="preserve"> </v>
      </c>
      <c r="G35" s="29">
        <f>SUM(G26/100*C157)</f>
        <v>0</v>
      </c>
      <c r="H35" s="30">
        <f>SUM(H26/100*C158)</f>
        <v>0</v>
      </c>
    </row>
    <row r="36" spans="1:10" ht="12.95" customHeight="1" x14ac:dyDescent="0.2">
      <c r="A36" s="3">
        <v>6.2</v>
      </c>
      <c r="B36" s="5" t="s">
        <v>23</v>
      </c>
      <c r="C36" s="15" t="s">
        <v>182</v>
      </c>
      <c r="D36" s="44"/>
      <c r="E36" s="44"/>
      <c r="F36" s="44"/>
      <c r="G36" s="44"/>
      <c r="H36" s="45"/>
      <c r="J36" s="3" t="s">
        <v>154</v>
      </c>
    </row>
    <row r="37" spans="1:10" ht="18" customHeight="1" x14ac:dyDescent="0.2">
      <c r="A37" s="11">
        <v>7</v>
      </c>
      <c r="B37" s="101" t="s">
        <v>79</v>
      </c>
      <c r="C37" s="96"/>
      <c r="D37" s="96"/>
      <c r="E37" s="96"/>
      <c r="F37" s="96"/>
      <c r="G37" s="96"/>
      <c r="H37" s="102"/>
    </row>
    <row r="38" spans="1:10" ht="12.95" customHeight="1" x14ac:dyDescent="0.2">
      <c r="A38" s="3">
        <v>7.1</v>
      </c>
      <c r="B38" s="5" t="s">
        <v>188</v>
      </c>
      <c r="C38" s="15" t="s">
        <v>40</v>
      </c>
      <c r="D38" s="31" t="str">
        <f>IF(D24=0," ",$C$79)</f>
        <v xml:space="preserve"> </v>
      </c>
      <c r="E38" s="31" t="str">
        <f>IF(E24=0," ",$C$79)</f>
        <v xml:space="preserve"> </v>
      </c>
      <c r="F38" s="31" t="str">
        <f>IF(F24=0," ",$C$79)</f>
        <v xml:space="preserve"> </v>
      </c>
      <c r="G38" s="31" t="str">
        <f>IF(G24=0," ",$C$79)</f>
        <v xml:space="preserve"> </v>
      </c>
      <c r="H38" s="89" t="str">
        <f>IF(H24=0," ",$C$79)</f>
        <v xml:space="preserve"> </v>
      </c>
      <c r="I38" s="88"/>
    </row>
    <row r="39" spans="1:10" ht="12.95" customHeight="1" x14ac:dyDescent="0.2">
      <c r="A39" s="3">
        <v>7.2</v>
      </c>
      <c r="B39" s="5" t="s">
        <v>26</v>
      </c>
      <c r="C39" s="15" t="s">
        <v>41</v>
      </c>
      <c r="D39" s="27" t="str">
        <f>IF(D24=0," ",$C$83*100)</f>
        <v xml:space="preserve"> </v>
      </c>
      <c r="E39" s="27" t="str">
        <f>IF(E24=0," ",$C$83*100)</f>
        <v xml:space="preserve"> </v>
      </c>
      <c r="F39" s="27" t="str">
        <f>IF(F24=0," ",$C$83*100)</f>
        <v xml:space="preserve"> </v>
      </c>
      <c r="G39" s="27" t="str">
        <f>IF(G24=0," ",$C$83*100)</f>
        <v xml:space="preserve"> </v>
      </c>
      <c r="H39" s="28" t="str">
        <f>IF(H24=0," ",$C$83*100)</f>
        <v xml:space="preserve"> </v>
      </c>
      <c r="I39" s="88"/>
    </row>
    <row r="40" spans="1:10" ht="12.95" customHeight="1" x14ac:dyDescent="0.2">
      <c r="A40" s="3">
        <v>7.3</v>
      </c>
      <c r="B40" s="5" t="s">
        <v>77</v>
      </c>
      <c r="C40" s="15" t="s">
        <v>41</v>
      </c>
      <c r="D40" s="27" t="str">
        <f>IF(D24=0," ",$C$86*100)</f>
        <v xml:space="preserve"> </v>
      </c>
      <c r="E40" s="27" t="str">
        <f>IF(E24=0," ",$C$86*100)</f>
        <v xml:space="preserve"> </v>
      </c>
      <c r="F40" s="27" t="str">
        <f>IF(F24=0," ",$C$86*100)</f>
        <v xml:space="preserve"> </v>
      </c>
      <c r="G40" s="27" t="str">
        <f>IF(G24=0," ",$C$86*100)</f>
        <v xml:space="preserve"> </v>
      </c>
      <c r="H40" s="28" t="str">
        <f>IF(H24=0," ",$C$86*100)</f>
        <v xml:space="preserve"> </v>
      </c>
      <c r="I40" s="88"/>
    </row>
    <row r="41" spans="1:10" ht="12.95" customHeight="1" x14ac:dyDescent="0.2">
      <c r="A41" s="3">
        <v>7.4</v>
      </c>
      <c r="B41" s="5" t="s">
        <v>78</v>
      </c>
      <c r="C41" s="15" t="s">
        <v>41</v>
      </c>
      <c r="D41" s="27" t="str">
        <f>IF(D24=0," ",$C$90*100)</f>
        <v xml:space="preserve"> </v>
      </c>
      <c r="E41" s="27" t="str">
        <f>IF(E24=0," ",$C$90*100)</f>
        <v xml:space="preserve"> </v>
      </c>
      <c r="F41" s="27" t="str">
        <f>IF(F24=0," ",$C$90*100)</f>
        <v xml:space="preserve"> </v>
      </c>
      <c r="G41" s="27" t="str">
        <f>IF(G24=0," ",$C$90*100)</f>
        <v xml:space="preserve"> </v>
      </c>
      <c r="H41" s="28" t="str">
        <f>IF(H24=0," ",$C$90*100)</f>
        <v xml:space="preserve"> </v>
      </c>
      <c r="I41" s="88"/>
    </row>
    <row r="42" spans="1:10" ht="18" customHeight="1" x14ac:dyDescent="0.2">
      <c r="A42" s="11">
        <v>8</v>
      </c>
      <c r="B42" s="101" t="s">
        <v>80</v>
      </c>
      <c r="C42" s="96"/>
      <c r="D42" s="96"/>
      <c r="E42" s="96"/>
      <c r="F42" s="96"/>
      <c r="G42" s="96"/>
      <c r="H42" s="102"/>
    </row>
    <row r="43" spans="1:10" ht="12.95" customHeight="1" x14ac:dyDescent="0.2">
      <c r="A43" s="3">
        <v>8.1</v>
      </c>
      <c r="B43" s="5" t="s">
        <v>24</v>
      </c>
      <c r="C43" s="15" t="s">
        <v>182</v>
      </c>
      <c r="D43" s="29" t="str">
        <f>IF(D26=0," ",IF(ISERROR(SUM(D22*C88))," ",(SUM(D22*C88))))</f>
        <v xml:space="preserve"> </v>
      </c>
      <c r="E43" s="29" t="str">
        <f>IF(E26=0," ",IF(ISERROR(SUM(E22*C88))," ",(SUM(E22*C88))))</f>
        <v xml:space="preserve"> </v>
      </c>
      <c r="F43" s="29" t="str">
        <f>IF(F26=0," ",IF(ISERROR(SUM(F22*C88))," ",(SUM(F22*C88))))</f>
        <v xml:space="preserve"> </v>
      </c>
      <c r="G43" s="29" t="str">
        <f>IF(G26=0," ",IF(ISERROR(SUM(G22*C88))," ",(SUM(G22*C88))))</f>
        <v xml:space="preserve"> </v>
      </c>
      <c r="H43" s="30" t="str">
        <f>IF(H26=0," ",IF(ISERROR(SUM(H22*C88))," ",(SUM(H22*C88))))</f>
        <v xml:space="preserve"> </v>
      </c>
      <c r="I43" s="88"/>
    </row>
    <row r="44" spans="1:10" ht="12.95" customHeight="1" x14ac:dyDescent="0.2">
      <c r="A44" s="3">
        <v>8.1999999999999993</v>
      </c>
      <c r="B44" s="5" t="s">
        <v>21</v>
      </c>
      <c r="C44" s="15" t="s">
        <v>182</v>
      </c>
      <c r="D44" s="29">
        <f>IF(D36&gt;0,D36,D35)*C92</f>
        <v>0</v>
      </c>
      <c r="E44" s="29">
        <f>IF(E36&gt;0,E36,E35)*C92</f>
        <v>0</v>
      </c>
      <c r="F44" s="29" t="str">
        <f>IF(ISERROR(IF(F36&gt;0,F36,F35)*C92)," ",(IF(F36&gt;0,F36,F35)*C92))</f>
        <v xml:space="preserve"> </v>
      </c>
      <c r="G44" s="29">
        <f>IF(G36&gt;0,G36,G35)*C92</f>
        <v>0</v>
      </c>
      <c r="H44" s="30">
        <f>IF(H36&gt;0,H36,H35)*C92</f>
        <v>0</v>
      </c>
    </row>
    <row r="45" spans="1:10" ht="12.95" customHeight="1" x14ac:dyDescent="0.2">
      <c r="A45" s="3">
        <v>8.3000000000000007</v>
      </c>
      <c r="B45" s="5" t="s">
        <v>27</v>
      </c>
      <c r="C45" s="15" t="s">
        <v>182</v>
      </c>
      <c r="D45" s="29" t="str">
        <f>D76</f>
        <v xml:space="preserve"> </v>
      </c>
      <c r="E45" s="29" t="str">
        <f>E76</f>
        <v xml:space="preserve"> </v>
      </c>
      <c r="F45" s="29" t="str">
        <f>IF(F26=0," ",F76)</f>
        <v xml:space="preserve"> </v>
      </c>
      <c r="G45" s="29" t="str">
        <f>G76</f>
        <v xml:space="preserve"> </v>
      </c>
      <c r="H45" s="30" t="str">
        <f>H76</f>
        <v xml:space="preserve"> </v>
      </c>
    </row>
    <row r="46" spans="1:10" ht="13.5" customHeight="1" x14ac:dyDescent="0.2">
      <c r="A46" s="3">
        <v>8.4</v>
      </c>
      <c r="B46" s="12" t="s">
        <v>28</v>
      </c>
      <c r="C46" s="20" t="s">
        <v>182</v>
      </c>
      <c r="D46" s="32">
        <f>SUM(D43:D45)</f>
        <v>0</v>
      </c>
      <c r="E46" s="32">
        <f>SUM(E43:E45)</f>
        <v>0</v>
      </c>
      <c r="F46" s="32">
        <f>SUM(F43:F45)</f>
        <v>0</v>
      </c>
      <c r="G46" s="32">
        <f>SUM(G43:G45)</f>
        <v>0</v>
      </c>
      <c r="H46" s="33">
        <f>SUM(H43:H45)</f>
        <v>0</v>
      </c>
    </row>
    <row r="47" spans="1:10" ht="12.75" customHeight="1" x14ac:dyDescent="0.2">
      <c r="C47" s="4"/>
      <c r="D47" s="4"/>
      <c r="E47" s="4"/>
      <c r="F47" s="4"/>
      <c r="G47" s="4"/>
      <c r="H47" s="4"/>
    </row>
    <row r="48" spans="1:10" ht="15" customHeight="1" x14ac:dyDescent="0.25">
      <c r="A48" s="11">
        <v>9</v>
      </c>
      <c r="B48" s="103" t="s">
        <v>29</v>
      </c>
      <c r="C48" s="104"/>
      <c r="D48" s="104"/>
      <c r="E48" s="104"/>
      <c r="F48" s="105"/>
      <c r="G48" s="105"/>
      <c r="H48" s="106"/>
    </row>
    <row r="49" spans="1:13" ht="12.75" customHeight="1" x14ac:dyDescent="0.2">
      <c r="A49" s="14">
        <v>9.1</v>
      </c>
      <c r="B49" s="5" t="s">
        <v>205</v>
      </c>
      <c r="C49" s="82" t="s">
        <v>43</v>
      </c>
      <c r="D49" s="84" t="str">
        <f>IF(ISERROR(D46/MAX(H14,H15)*100)," ",(D46/MAX(H14,H15)*100))</f>
        <v xml:space="preserve"> </v>
      </c>
      <c r="E49" s="84" t="str">
        <f>IF(ISERROR(E46/MAX(H14,H15)*100)," ",(E46/MAX(H14,H15)*100))</f>
        <v xml:space="preserve"> </v>
      </c>
      <c r="F49" s="85" t="str">
        <f>IF(ISERROR(F46/MAX(H14,H15)*100)," ",(F46/MAX(H14,H15)*100))</f>
        <v xml:space="preserve"> </v>
      </c>
      <c r="G49" s="85" t="str">
        <f>IF(ISERROR(G46/MAX(H14,H15)*100)," ",(G46/MAX(H14,H15)*100))</f>
        <v xml:space="preserve"> </v>
      </c>
      <c r="H49" s="86" t="str">
        <f>IF(ISERROR(H46/MAX(H14,H15)*100)," ",(H46/MAX(H14,H15)*100))</f>
        <v xml:space="preserve"> </v>
      </c>
    </row>
    <row r="50" spans="1:13" ht="15" customHeight="1" x14ac:dyDescent="0.2">
      <c r="A50" s="3">
        <v>9.1999999999999993</v>
      </c>
      <c r="B50" s="5" t="s">
        <v>31</v>
      </c>
      <c r="C50" s="15" t="s">
        <v>41</v>
      </c>
      <c r="D50" s="81" t="str">
        <f>IF(D26&gt;0, D46/_xlfn.MINIFS($D$46:$F$46, $D$26:$F$26, "&gt;0"), "")</f>
        <v/>
      </c>
      <c r="E50" s="81" t="str">
        <f>IF(E26&gt;0, E46/_xlfn.MINIFS($D$46:$F$46, $D$26:$F$26, "&gt;0"), "")</f>
        <v/>
      </c>
      <c r="F50" s="81" t="str">
        <f>IF(F26&gt;0, F46/_xlfn.MINIFS($D$46:$F$46, $D$26:$F$26, "&gt;0"), "")</f>
        <v/>
      </c>
      <c r="G50" s="81" t="str">
        <f>IF(G26&gt;0, G46/_xlfn.MINIFS($D$46:$F$46, $D$26:$F$26, "&gt;0"), "")</f>
        <v/>
      </c>
      <c r="H50" s="83" t="str">
        <f>IF(H26&gt;0, H46/_xlfn.MINIFS($D$46:$F$46, $D$26:$F$26, "&gt;0"), "")</f>
        <v/>
      </c>
    </row>
    <row r="51" spans="1:13" ht="15" customHeight="1" x14ac:dyDescent="0.2">
      <c r="A51" s="3">
        <v>9.3000000000000007</v>
      </c>
      <c r="B51" s="92" t="s">
        <v>30</v>
      </c>
      <c r="C51" s="93"/>
      <c r="D51" s="93"/>
      <c r="E51" s="93"/>
      <c r="F51" s="94"/>
      <c r="G51" s="63" t="str">
        <f>IF(G50=" "," ",IF(G50&lt;=110%,"JA",IF(G50&gt;110%,"NEIN")))</f>
        <v>NEIN</v>
      </c>
      <c r="H51" s="62" t="str">
        <f>IF(H50=" "," ",IF(H50&lt;=110%,"JA",IF(H50&gt;110%,"NEIN")))</f>
        <v>NEIN</v>
      </c>
    </row>
    <row r="52" spans="1:13" ht="11.25" customHeight="1" x14ac:dyDescent="0.2"/>
    <row r="53" spans="1:13" ht="13.5" customHeight="1" x14ac:dyDescent="0.25">
      <c r="B53" s="2" t="s">
        <v>33</v>
      </c>
      <c r="C53" s="11" t="s">
        <v>34</v>
      </c>
      <c r="D53" s="14"/>
      <c r="E53" s="14"/>
      <c r="F53" s="14"/>
      <c r="G53" s="11" t="s">
        <v>35</v>
      </c>
    </row>
    <row r="54" spans="1:13" ht="9.75" customHeight="1" x14ac:dyDescent="0.2"/>
    <row r="55" spans="1:13" ht="13.5" customHeight="1" x14ac:dyDescent="0.2">
      <c r="B55" s="3" t="s">
        <v>36</v>
      </c>
      <c r="C55" s="13"/>
      <c r="D55" s="13"/>
      <c r="G55" s="13"/>
      <c r="H55" s="13"/>
      <c r="M55" s="57"/>
    </row>
    <row r="56" spans="1:13" ht="11.25" customHeight="1" x14ac:dyDescent="0.2">
      <c r="B56" s="3"/>
    </row>
    <row r="57" spans="1:13" ht="13.5" customHeight="1" x14ac:dyDescent="0.2">
      <c r="B57" s="3" t="s">
        <v>37</v>
      </c>
      <c r="C57" s="13"/>
      <c r="D57" s="13"/>
      <c r="G57" s="13"/>
      <c r="H57" s="13"/>
    </row>
    <row r="58" spans="1:13" ht="7.5" customHeight="1" x14ac:dyDescent="0.2"/>
    <row r="59" spans="1:13" ht="13.5" hidden="1" customHeight="1" x14ac:dyDescent="0.2">
      <c r="H59" s="68"/>
    </row>
    <row r="60" spans="1:13" ht="13.5" hidden="1" customHeight="1" x14ac:dyDescent="0.2"/>
    <row r="61" spans="1:13" ht="13.5" hidden="1" customHeight="1" x14ac:dyDescent="0.2">
      <c r="B61" s="46">
        <f ca="1">TODAY()</f>
        <v>46142</v>
      </c>
    </row>
    <row r="62" spans="1:13" ht="13.5" hidden="1" customHeight="1" x14ac:dyDescent="0.2"/>
    <row r="63" spans="1:13" ht="13.5" hidden="1" customHeight="1" x14ac:dyDescent="0.2">
      <c r="B63" s="3" t="s">
        <v>82</v>
      </c>
      <c r="C63" s="3">
        <v>3150</v>
      </c>
      <c r="D63" s="3" t="s">
        <v>83</v>
      </c>
      <c r="E63" s="3"/>
      <c r="F63" s="3"/>
      <c r="G63" s="3"/>
    </row>
    <row r="64" spans="1:13" ht="13.5" hidden="1" customHeight="1" x14ac:dyDescent="0.2">
      <c r="B64" s="3" t="s">
        <v>87</v>
      </c>
      <c r="C64" s="3">
        <v>16</v>
      </c>
      <c r="D64" s="3" t="s">
        <v>88</v>
      </c>
      <c r="E64" s="3"/>
      <c r="F64" s="3"/>
      <c r="G64" s="3"/>
    </row>
    <row r="65" spans="2:8" ht="13.5" hidden="1" customHeight="1" x14ac:dyDescent="0.2">
      <c r="B65" s="3" t="s">
        <v>84</v>
      </c>
      <c r="C65" s="3">
        <v>20</v>
      </c>
      <c r="D65" s="3" t="s">
        <v>86</v>
      </c>
      <c r="E65" s="3"/>
      <c r="F65" s="3"/>
      <c r="G65" s="3"/>
    </row>
    <row r="66" spans="2:8" ht="13.5" hidden="1" customHeight="1" x14ac:dyDescent="0.2">
      <c r="B66" s="3" t="s">
        <v>85</v>
      </c>
      <c r="C66" s="3">
        <v>-7</v>
      </c>
      <c r="D66" s="3" t="s">
        <v>86</v>
      </c>
      <c r="E66" s="3"/>
      <c r="F66" s="3"/>
      <c r="G66" s="3"/>
    </row>
    <row r="67" spans="2:8" ht="13.5" hidden="1" customHeight="1" x14ac:dyDescent="0.2">
      <c r="B67" s="3"/>
      <c r="C67" s="3"/>
      <c r="D67" s="3"/>
      <c r="E67" s="3"/>
      <c r="F67" s="3"/>
      <c r="G67" s="3"/>
    </row>
    <row r="68" spans="2:8" ht="13.5" hidden="1" customHeight="1" x14ac:dyDescent="0.2">
      <c r="B68" s="3" t="s">
        <v>193</v>
      </c>
      <c r="C68" s="3"/>
      <c r="D68" s="3"/>
      <c r="E68" s="3"/>
      <c r="F68" s="3"/>
      <c r="G68" s="3"/>
    </row>
    <row r="69" spans="2:8" ht="13.5" hidden="1" customHeight="1" x14ac:dyDescent="0.2">
      <c r="B69" s="24">
        <v>3.3</v>
      </c>
      <c r="C69" s="3"/>
      <c r="D69" s="80">
        <f>D26</f>
        <v>0</v>
      </c>
      <c r="E69" s="80">
        <f>E26</f>
        <v>0</v>
      </c>
      <c r="F69" s="80">
        <f>F26</f>
        <v>0</v>
      </c>
      <c r="G69" s="80">
        <f>G26</f>
        <v>0</v>
      </c>
      <c r="H69" s="80">
        <f>H26</f>
        <v>0</v>
      </c>
    </row>
    <row r="70" spans="2:8" ht="13.5" hidden="1" customHeight="1" x14ac:dyDescent="0.2">
      <c r="B70" s="24">
        <v>4.0999999999999996</v>
      </c>
      <c r="C70" s="3"/>
      <c r="D70" s="80">
        <f>D28</f>
        <v>0</v>
      </c>
      <c r="E70" s="80">
        <f>E28</f>
        <v>0</v>
      </c>
      <c r="F70" s="80">
        <f>F28</f>
        <v>0</v>
      </c>
      <c r="G70" s="80">
        <f>G28</f>
        <v>0</v>
      </c>
      <c r="H70" s="80">
        <f>H28</f>
        <v>0</v>
      </c>
    </row>
    <row r="71" spans="2:8" ht="13.5" hidden="1" customHeight="1" x14ac:dyDescent="0.2">
      <c r="B71" s="24">
        <v>5.4</v>
      </c>
      <c r="C71" s="3"/>
      <c r="D71" s="80" t="str">
        <f>D33</f>
        <v xml:space="preserve"> </v>
      </c>
      <c r="E71" s="80" t="str">
        <f>E33</f>
        <v xml:space="preserve"> </v>
      </c>
      <c r="F71" s="80" t="str">
        <f>F33</f>
        <v xml:space="preserve"> </v>
      </c>
      <c r="G71" s="80" t="str">
        <f>G33</f>
        <v xml:space="preserve"> </v>
      </c>
      <c r="H71" s="80" t="str">
        <f>H33</f>
        <v xml:space="preserve"> </v>
      </c>
    </row>
    <row r="72" spans="2:8" ht="13.5" hidden="1" customHeight="1" x14ac:dyDescent="0.2">
      <c r="B72" s="3" t="s">
        <v>27</v>
      </c>
      <c r="C72" s="3"/>
      <c r="D72" s="3"/>
      <c r="E72" s="3"/>
      <c r="F72" s="3"/>
      <c r="G72" s="3"/>
    </row>
    <row r="73" spans="2:8" ht="13.5" hidden="1" customHeight="1" x14ac:dyDescent="0.2">
      <c r="B73" s="24" t="s">
        <v>195</v>
      </c>
      <c r="C73" s="3"/>
      <c r="D73" s="3">
        <f>D69/G79</f>
        <v>0</v>
      </c>
      <c r="E73" s="3">
        <f>E69/G79</f>
        <v>0</v>
      </c>
      <c r="F73" s="3">
        <f>F69/G79</f>
        <v>0</v>
      </c>
      <c r="G73" s="3">
        <f>G69/G79</f>
        <v>0</v>
      </c>
      <c r="H73" s="3">
        <f>H69/G79</f>
        <v>0</v>
      </c>
    </row>
    <row r="74" spans="2:8" ht="13.5" hidden="1" customHeight="1" x14ac:dyDescent="0.2">
      <c r="B74" s="24" t="s">
        <v>196</v>
      </c>
      <c r="C74" s="3"/>
      <c r="D74" s="3">
        <f>D70/G81</f>
        <v>0</v>
      </c>
      <c r="E74" s="3">
        <f>E70/G81</f>
        <v>0</v>
      </c>
      <c r="F74" s="3">
        <f>F70/G81</f>
        <v>0</v>
      </c>
      <c r="G74" s="3">
        <f>G70/G81</f>
        <v>0</v>
      </c>
      <c r="H74" s="3">
        <f>H70/G81</f>
        <v>0</v>
      </c>
    </row>
    <row r="75" spans="2:8" ht="13.5" hidden="1" customHeight="1" x14ac:dyDescent="0.2">
      <c r="B75" s="24" t="s">
        <v>197</v>
      </c>
      <c r="C75" s="3"/>
      <c r="D75" s="3" t="e">
        <f>D71/G80</f>
        <v>#VALUE!</v>
      </c>
      <c r="E75" s="3" t="e">
        <f>E71/G80</f>
        <v>#VALUE!</v>
      </c>
      <c r="F75" s="3" t="e">
        <f>F71/G80</f>
        <v>#VALUE!</v>
      </c>
      <c r="G75" s="3" t="e">
        <f>G71/G80</f>
        <v>#VALUE!</v>
      </c>
      <c r="H75" s="3" t="e">
        <f>H71/G80</f>
        <v>#VALUE!</v>
      </c>
    </row>
    <row r="76" spans="2:8" ht="13.5" hidden="1" customHeight="1" x14ac:dyDescent="0.2">
      <c r="B76" s="3" t="s">
        <v>194</v>
      </c>
      <c r="C76" s="3"/>
      <c r="D76" s="3" t="str">
        <f>IF(ISERROR(SUM(D73:D75))," ",(SUM(D73:D75)))</f>
        <v xml:space="preserve"> </v>
      </c>
      <c r="E76" s="3" t="str">
        <f>IF(ISERROR(SUM(E73:E75))," ",(SUM(E73:E75)))</f>
        <v xml:space="preserve"> </v>
      </c>
      <c r="F76" s="3" t="str">
        <f>IF(ISERROR(SUM(F73:F75))," ",(SUM(F73:F75)))</f>
        <v xml:space="preserve"> </v>
      </c>
      <c r="G76" s="3" t="str">
        <f>IF(ISERROR(SUM(G73:G75))," ",(SUM(G73:G75)))</f>
        <v xml:space="preserve"> </v>
      </c>
      <c r="H76" s="3" t="str">
        <f>IF(ISERROR(SUM(H73:H75))," ",(SUM(H73:H75)))</f>
        <v xml:space="preserve"> </v>
      </c>
    </row>
    <row r="77" spans="2:8" ht="13.5" hidden="1" customHeight="1" x14ac:dyDescent="0.2">
      <c r="B77" s="3"/>
      <c r="C77" s="3"/>
      <c r="D77" s="3"/>
      <c r="E77" s="3"/>
      <c r="F77" s="3"/>
      <c r="G77" s="3"/>
    </row>
    <row r="78" spans="2:8" ht="13.5" hidden="1" customHeight="1" x14ac:dyDescent="0.2">
      <c r="B78" s="3"/>
      <c r="C78" s="3"/>
      <c r="D78" s="3"/>
      <c r="E78" s="3"/>
      <c r="F78" s="3"/>
      <c r="G78" s="3"/>
    </row>
    <row r="79" spans="2:8" ht="13.5" hidden="1" customHeight="1" x14ac:dyDescent="0.2">
      <c r="B79" s="3"/>
      <c r="C79" s="22">
        <v>20</v>
      </c>
      <c r="D79" s="3" t="s">
        <v>40</v>
      </c>
      <c r="E79" s="3"/>
      <c r="F79" s="3" t="s">
        <v>103</v>
      </c>
      <c r="G79" s="36">
        <f>PV(C83,C79,-1,0,0)</f>
        <v>17.274884911377551</v>
      </c>
    </row>
    <row r="80" spans="2:8" ht="13.5" hidden="1" customHeight="1" x14ac:dyDescent="0.2">
      <c r="B80" s="3"/>
      <c r="C80" s="22">
        <v>30</v>
      </c>
      <c r="D80" s="3" t="s">
        <v>40</v>
      </c>
      <c r="E80" s="3"/>
      <c r="F80" s="3" t="s">
        <v>103</v>
      </c>
      <c r="G80" s="36">
        <f>PV(C83,C80,-1,0,0)</f>
        <v>24.229965663523316</v>
      </c>
    </row>
    <row r="81" spans="2:8" ht="13.5" hidden="1" customHeight="1" x14ac:dyDescent="0.2">
      <c r="B81" s="3" t="s">
        <v>25</v>
      </c>
      <c r="C81" s="22">
        <v>50</v>
      </c>
      <c r="D81" s="3" t="s">
        <v>40</v>
      </c>
      <c r="E81" s="3"/>
      <c r="F81" s="3" t="s">
        <v>103</v>
      </c>
      <c r="G81" s="36">
        <f>PV(C83,C81,-1,0,0)</f>
        <v>35.487908718893436</v>
      </c>
    </row>
    <row r="82" spans="2:8" ht="34.5" hidden="1" customHeight="1" x14ac:dyDescent="0.2">
      <c r="B82" s="3"/>
      <c r="C82" s="22"/>
      <c r="D82" s="52">
        <v>2024</v>
      </c>
      <c r="E82" s="52"/>
      <c r="F82" s="52">
        <v>2025</v>
      </c>
      <c r="G82" s="52">
        <v>2022</v>
      </c>
      <c r="H82" s="52">
        <v>2023</v>
      </c>
    </row>
    <row r="83" spans="2:8" ht="13.5" hidden="1" customHeight="1" x14ac:dyDescent="0.2">
      <c r="B83" s="3" t="s">
        <v>26</v>
      </c>
      <c r="C83" s="35">
        <f>SUM(D83:H83)/4</f>
        <v>1.4375000000000001E-2</v>
      </c>
      <c r="D83" s="51">
        <v>1.7500000000000002E-2</v>
      </c>
      <c r="E83" s="51"/>
      <c r="F83" s="51">
        <v>1.2500000000000001E-2</v>
      </c>
      <c r="G83" s="51">
        <v>1.2500000000000001E-2</v>
      </c>
      <c r="H83" s="51">
        <v>1.4999999999999999E-2</v>
      </c>
    </row>
    <row r="84" spans="2:8" ht="13.5" hidden="1" customHeight="1" x14ac:dyDescent="0.2">
      <c r="B84" s="3"/>
      <c r="C84" s="34"/>
      <c r="D84" s="3"/>
      <c r="E84" s="3"/>
      <c r="F84" s="3"/>
      <c r="G84" s="3"/>
    </row>
    <row r="85" spans="2:8" ht="13.5" hidden="1" customHeight="1" x14ac:dyDescent="0.2">
      <c r="B85" s="3"/>
      <c r="C85" s="34"/>
      <c r="D85" s="3"/>
      <c r="E85" s="3"/>
      <c r="F85" s="3"/>
      <c r="G85" s="3"/>
    </row>
    <row r="86" spans="2:8" ht="13.5" hidden="1" customHeight="1" x14ac:dyDescent="0.2">
      <c r="B86" s="3" t="s">
        <v>99</v>
      </c>
      <c r="C86" s="35">
        <v>0.01</v>
      </c>
      <c r="D86" s="3"/>
      <c r="E86" s="3"/>
      <c r="F86" s="3"/>
      <c r="G86" s="3"/>
    </row>
    <row r="87" spans="2:8" ht="13.5" hidden="1" customHeight="1" x14ac:dyDescent="0.2">
      <c r="B87" s="3" t="s">
        <v>81</v>
      </c>
      <c r="C87" s="37">
        <f>IF(C83&lt;&gt;C86,1/(C83-C86)*(1-((1+C86)/(1+C83))^C79),C79/(1+C83))</f>
        <v>18.929244830826924</v>
      </c>
      <c r="D87" s="3"/>
      <c r="E87" s="3"/>
      <c r="F87" s="3"/>
      <c r="G87" s="3"/>
    </row>
    <row r="88" spans="2:8" ht="13.5" hidden="1" customHeight="1" x14ac:dyDescent="0.2">
      <c r="B88" s="3" t="s">
        <v>81</v>
      </c>
      <c r="C88" s="34">
        <f>SUM(C87/G79)</f>
        <v>1.0957667693843669</v>
      </c>
      <c r="D88" s="3"/>
      <c r="E88" s="3"/>
      <c r="F88" s="3"/>
      <c r="G88" s="3"/>
    </row>
    <row r="89" spans="2:8" ht="13.5" hidden="1" customHeight="1" x14ac:dyDescent="0.2">
      <c r="B89" s="3"/>
      <c r="C89" s="35"/>
      <c r="D89" s="3"/>
      <c r="E89" s="3"/>
      <c r="F89" s="3"/>
      <c r="G89" s="3"/>
    </row>
    <row r="90" spans="2:8" ht="13.5" hidden="1" customHeight="1" x14ac:dyDescent="0.2">
      <c r="B90" s="3" t="s">
        <v>92</v>
      </c>
      <c r="C90" s="35">
        <v>1.4999999999999999E-2</v>
      </c>
      <c r="D90" s="3"/>
      <c r="E90" s="3"/>
      <c r="F90" s="3"/>
      <c r="G90" s="3"/>
    </row>
    <row r="91" spans="2:8" ht="13.5" hidden="1" customHeight="1" x14ac:dyDescent="0.2">
      <c r="B91" s="3" t="s">
        <v>89</v>
      </c>
      <c r="C91" s="34">
        <f>IF(C83&lt;&gt;C90,1/(C83-C90)*(1-((1+C90)/(1+C83))^C79),C79/(1+C83))</f>
        <v>19.832410179396156</v>
      </c>
      <c r="D91" s="3"/>
      <c r="E91" s="3"/>
      <c r="F91" s="3"/>
      <c r="G91" s="3"/>
    </row>
    <row r="92" spans="2:8" ht="13.5" hidden="1" customHeight="1" x14ac:dyDescent="0.2">
      <c r="B92" s="3" t="s">
        <v>89</v>
      </c>
      <c r="C92" s="34">
        <f>SUM(C91/G79)</f>
        <v>1.1480487587117973</v>
      </c>
      <c r="D92" s="3"/>
      <c r="E92" s="3"/>
      <c r="F92" s="3"/>
      <c r="G92" s="3"/>
    </row>
    <row r="93" spans="2:8" ht="13.5" hidden="1" customHeight="1" x14ac:dyDescent="0.2">
      <c r="B93" s="3"/>
      <c r="C93" s="3"/>
      <c r="D93" s="3"/>
      <c r="E93" s="3"/>
      <c r="F93" s="3"/>
      <c r="G93" s="3"/>
    </row>
    <row r="94" spans="2:8" ht="13.5" hidden="1" customHeight="1" x14ac:dyDescent="0.2"/>
    <row r="95" spans="2:8" ht="13.5" hidden="1" customHeight="1" x14ac:dyDescent="0.2">
      <c r="B95" s="3" t="s">
        <v>47</v>
      </c>
      <c r="C95" s="22" t="s">
        <v>48</v>
      </c>
      <c r="D95" s="3"/>
      <c r="E95" s="3"/>
      <c r="F95" s="3"/>
      <c r="G95" s="3"/>
      <c r="H95" s="3"/>
    </row>
    <row r="96" spans="2:8" ht="13.5" hidden="1" customHeight="1" x14ac:dyDescent="0.2">
      <c r="B96" s="3"/>
      <c r="C96" s="22"/>
      <c r="D96" s="3"/>
      <c r="E96" s="3"/>
      <c r="F96" s="3"/>
      <c r="G96" s="3"/>
      <c r="H96" s="3"/>
    </row>
    <row r="97" spans="1:8" ht="13.5" hidden="1" customHeight="1" x14ac:dyDescent="0.2">
      <c r="A97" s="41"/>
      <c r="B97" s="42" t="s">
        <v>138</v>
      </c>
      <c r="C97" s="22">
        <v>75</v>
      </c>
      <c r="D97" s="3"/>
      <c r="E97" s="3"/>
      <c r="F97" s="3"/>
      <c r="G97" s="3"/>
      <c r="H97" s="3"/>
    </row>
    <row r="98" spans="1:8" ht="13.5" hidden="1" customHeight="1" x14ac:dyDescent="0.2">
      <c r="A98" s="41"/>
      <c r="B98" s="42" t="s">
        <v>139</v>
      </c>
      <c r="C98" s="22">
        <v>50</v>
      </c>
      <c r="D98" s="3"/>
      <c r="E98" s="3"/>
      <c r="F98" s="3"/>
      <c r="G98" s="3"/>
      <c r="H98" s="3"/>
    </row>
    <row r="99" spans="1:8" ht="13.5" hidden="1" customHeight="1" x14ac:dyDescent="0.2">
      <c r="A99" s="41"/>
      <c r="B99" s="42" t="s">
        <v>140</v>
      </c>
      <c r="C99" s="22">
        <v>25</v>
      </c>
      <c r="D99" s="3"/>
      <c r="E99" s="3"/>
      <c r="F99" s="3"/>
      <c r="G99" s="3"/>
      <c r="H99" s="3"/>
    </row>
    <row r="100" spans="1:8" ht="13.5" hidden="1" customHeight="1" x14ac:dyDescent="0.2">
      <c r="A100" s="41"/>
      <c r="B100" s="42" t="s">
        <v>141</v>
      </c>
      <c r="C100" s="22">
        <v>25</v>
      </c>
      <c r="D100" s="3"/>
      <c r="E100" s="3"/>
      <c r="F100" s="3"/>
      <c r="G100" s="3"/>
      <c r="H100" s="3"/>
    </row>
    <row r="101" spans="1:8" ht="13.5" hidden="1" customHeight="1" x14ac:dyDescent="0.2">
      <c r="A101" s="41"/>
      <c r="B101" s="42" t="s">
        <v>142</v>
      </c>
      <c r="C101" s="22">
        <v>25</v>
      </c>
      <c r="D101" s="3"/>
      <c r="E101" s="3"/>
      <c r="F101" s="3"/>
      <c r="G101" s="3"/>
      <c r="H101" s="3"/>
    </row>
    <row r="102" spans="1:8" ht="13.5" hidden="1" customHeight="1" x14ac:dyDescent="0.2">
      <c r="A102" s="41"/>
      <c r="B102" s="42" t="s">
        <v>143</v>
      </c>
      <c r="C102" s="22">
        <v>200</v>
      </c>
      <c r="D102" s="3"/>
      <c r="E102" s="3"/>
      <c r="F102" s="3"/>
      <c r="G102" s="3"/>
      <c r="H102" s="3"/>
    </row>
    <row r="103" spans="1:8" ht="13.5" hidden="1" customHeight="1" x14ac:dyDescent="0.2">
      <c r="A103" s="41"/>
      <c r="B103" s="42" t="s">
        <v>144</v>
      </c>
      <c r="C103" s="22">
        <v>50</v>
      </c>
      <c r="D103" s="3"/>
      <c r="E103" s="3"/>
      <c r="F103" s="3"/>
      <c r="G103" s="3"/>
      <c r="H103" s="3"/>
    </row>
    <row r="104" spans="1:8" ht="13.5" hidden="1" customHeight="1" x14ac:dyDescent="0.2">
      <c r="A104" s="41"/>
      <c r="B104" s="42" t="s">
        <v>145</v>
      </c>
      <c r="C104" s="22">
        <v>100</v>
      </c>
      <c r="D104" s="3"/>
      <c r="E104" s="3"/>
      <c r="F104" s="3"/>
      <c r="G104" s="3"/>
      <c r="H104" s="3"/>
    </row>
    <row r="105" spans="1:8" ht="13.5" hidden="1" customHeight="1" x14ac:dyDescent="0.2">
      <c r="A105" s="41"/>
      <c r="B105" s="42" t="s">
        <v>146</v>
      </c>
      <c r="C105" s="22">
        <v>25</v>
      </c>
      <c r="D105" s="3"/>
      <c r="E105" s="3"/>
      <c r="F105" s="3"/>
      <c r="G105" s="3"/>
      <c r="H105" s="3"/>
    </row>
    <row r="106" spans="1:8" ht="13.5" hidden="1" customHeight="1" x14ac:dyDescent="0.2">
      <c r="A106" s="41"/>
      <c r="B106" s="42" t="s">
        <v>135</v>
      </c>
      <c r="C106" s="22">
        <v>5</v>
      </c>
      <c r="D106" s="3"/>
      <c r="E106" s="3"/>
      <c r="F106" s="3"/>
      <c r="G106" s="3"/>
      <c r="H106" s="3"/>
    </row>
    <row r="107" spans="1:8" ht="13.5" hidden="1" customHeight="1" x14ac:dyDescent="0.2">
      <c r="A107" s="41"/>
      <c r="B107" s="42" t="s">
        <v>136</v>
      </c>
      <c r="C107" s="22">
        <v>300</v>
      </c>
      <c r="D107" s="3"/>
      <c r="E107" s="3"/>
      <c r="F107" s="3"/>
      <c r="G107" s="3"/>
      <c r="H107" s="3"/>
    </row>
    <row r="108" spans="1:8" ht="13.5" hidden="1" customHeight="1" x14ac:dyDescent="0.2">
      <c r="A108" s="41"/>
      <c r="B108" s="42" t="s">
        <v>137</v>
      </c>
      <c r="C108" s="22">
        <v>300</v>
      </c>
      <c r="D108" s="3"/>
      <c r="E108" s="3"/>
      <c r="F108" s="3"/>
      <c r="G108" s="3"/>
      <c r="H108" s="3"/>
    </row>
    <row r="109" spans="1:8" ht="13.5" hidden="1" customHeight="1" x14ac:dyDescent="0.2">
      <c r="B109" s="3"/>
      <c r="C109" s="22"/>
      <c r="D109" s="3"/>
      <c r="E109" s="3"/>
      <c r="F109" s="3"/>
      <c r="G109" s="3"/>
      <c r="H109" s="3"/>
    </row>
    <row r="110" spans="1:8" ht="13.5" hidden="1" customHeight="1" x14ac:dyDescent="0.2">
      <c r="B110" s="3"/>
      <c r="C110" s="22"/>
      <c r="D110" s="3"/>
      <c r="E110" s="3"/>
      <c r="F110" s="3"/>
      <c r="G110" s="3"/>
      <c r="H110" s="3"/>
    </row>
    <row r="111" spans="1:8" ht="13.5" hidden="1" customHeight="1" x14ac:dyDescent="0.2">
      <c r="B111" s="3" t="s">
        <v>44</v>
      </c>
      <c r="C111" s="22"/>
      <c r="D111" s="22" t="s">
        <v>147</v>
      </c>
      <c r="E111" s="22"/>
      <c r="F111" s="22" t="s">
        <v>15</v>
      </c>
      <c r="G111" s="22" t="s">
        <v>148</v>
      </c>
      <c r="H111" s="22" t="s">
        <v>149</v>
      </c>
    </row>
    <row r="112" spans="1:8" ht="13.5" hidden="1" customHeight="1" x14ac:dyDescent="0.2">
      <c r="B112" s="3"/>
      <c r="C112" s="22"/>
      <c r="D112" s="58"/>
      <c r="E112" s="58"/>
      <c r="F112" s="22"/>
      <c r="G112" s="22"/>
      <c r="H112" s="22"/>
    </row>
    <row r="113" spans="2:12" ht="13.5" hidden="1" customHeight="1" x14ac:dyDescent="0.2">
      <c r="B113" s="3"/>
      <c r="C113" s="22"/>
      <c r="D113" s="22"/>
      <c r="E113" s="22"/>
      <c r="F113" s="22"/>
      <c r="G113" s="22"/>
      <c r="H113" s="22"/>
    </row>
    <row r="114" spans="2:12" ht="13.5" hidden="1" customHeight="1" x14ac:dyDescent="0.2">
      <c r="B114" s="3" t="s">
        <v>50</v>
      </c>
      <c r="C114" s="22"/>
      <c r="D114" s="22">
        <f>H125</f>
        <v>0.85</v>
      </c>
      <c r="E114" s="22"/>
      <c r="F114" s="34">
        <f>J142</f>
        <v>9.9700000000000006</v>
      </c>
      <c r="G114" s="22">
        <f>IF(OR(H12&lt;25,H12&lt;=25),(D174+D179),IF(AND(H12&gt;25,H12&lt;=50),(F174+F179),IF(AND(H12&gt;50,H12&lt;=120),(G174+G179),IF(AND(H12&gt;120,H12&lt;=500),(H174+H179),IF(H12&gt;500,(J174+J179))))))</f>
        <v>37</v>
      </c>
      <c r="H114" s="22">
        <f>C152</f>
        <v>3</v>
      </c>
    </row>
    <row r="115" spans="2:12" ht="13.5" hidden="1" customHeight="1" x14ac:dyDescent="0.2">
      <c r="B115" s="3" t="s">
        <v>51</v>
      </c>
      <c r="C115" s="22"/>
      <c r="D115" s="22">
        <f>H126</f>
        <v>0.75</v>
      </c>
      <c r="E115" s="22"/>
      <c r="F115" s="34">
        <f>J143</f>
        <v>6.5575000000000001</v>
      </c>
      <c r="G115" s="22">
        <f>IF(OR(H12&lt;25,H12&lt;=25),(D174+D180),IF(AND(H12&gt;25,H12&lt;=50),(F174+F180),IF(AND(H12&gt;50,H12&lt;=120),(G174+G180),IF(AND(H12&gt;120,H12&lt;=500),(H174+H180),IF(H12&gt;500,(J174+J180))))))</f>
        <v>37</v>
      </c>
      <c r="H115" s="22">
        <f>C153</f>
        <v>3</v>
      </c>
    </row>
    <row r="116" spans="2:12" ht="13.5" hidden="1" customHeight="1" x14ac:dyDescent="0.2">
      <c r="B116" s="3" t="s">
        <v>49</v>
      </c>
      <c r="C116" s="22"/>
      <c r="D116" s="22">
        <f>H124</f>
        <v>0.7</v>
      </c>
      <c r="E116" s="22"/>
      <c r="F116" s="34">
        <f>J141</f>
        <v>4.4625000000000004</v>
      </c>
      <c r="G116" s="22">
        <f>IF(OR(H12&lt;25,H12&lt;=25),D174,IF(AND(H12&gt;25,H12&lt;=50),F174,IF(AND(H12&gt;50,H12&lt;=120),G174,IF(AND(H12&gt;120,H12&lt;=500),H174,IF(H12&gt;500,J174)))))</f>
        <v>22</v>
      </c>
      <c r="H116" s="22">
        <f>C151</f>
        <v>3</v>
      </c>
    </row>
    <row r="117" spans="2:12" ht="13.5" hidden="1" customHeight="1" x14ac:dyDescent="0.2">
      <c r="B117" s="3" t="s">
        <v>53</v>
      </c>
      <c r="C117" s="22"/>
      <c r="D117" s="22">
        <f>H127</f>
        <v>3.1</v>
      </c>
      <c r="E117" s="22"/>
      <c r="F117" s="34">
        <f>J140</f>
        <v>25.157500000000002</v>
      </c>
      <c r="G117" s="22">
        <f>IF(OR(H12&lt;25,H12&lt;=25),D174,IF(AND(H12&gt;25,H12&lt;=50),F174,IF(AND(H12&gt;50,H12&lt;=120),G174,IF(AND(H12&gt;120,H12&lt;=500),H174,IF(H12&gt;500,J174)))))</f>
        <v>22</v>
      </c>
      <c r="H117" s="22">
        <f>C154</f>
        <v>1</v>
      </c>
    </row>
    <row r="118" spans="2:12" ht="13.5" hidden="1" customHeight="1" x14ac:dyDescent="0.2">
      <c r="B118" s="3" t="s">
        <v>54</v>
      </c>
      <c r="C118" s="22"/>
      <c r="D118" s="22">
        <f>H128</f>
        <v>3.2</v>
      </c>
      <c r="E118" s="22"/>
      <c r="F118" s="34">
        <f>J140</f>
        <v>25.157500000000002</v>
      </c>
      <c r="G118" s="22">
        <f>IF(OR(H12&lt;25,H12&lt;=25),D174,IF(AND(H12&gt;25,H12&lt;=50),F174,IF(AND(H12&gt;50,H12&lt;=120),G174,IF(AND(H12&gt;120,H12&lt;=500),H174,IF(H12&gt;500,J174)))))</f>
        <v>22</v>
      </c>
      <c r="H118" s="22">
        <f>C155</f>
        <v>2</v>
      </c>
    </row>
    <row r="119" spans="2:12" ht="13.5" hidden="1" customHeight="1" x14ac:dyDescent="0.2">
      <c r="B119" s="3"/>
      <c r="C119" s="22"/>
      <c r="D119" s="3"/>
      <c r="E119" s="3"/>
      <c r="F119" s="3"/>
      <c r="G119" s="3"/>
      <c r="H119" s="3"/>
    </row>
    <row r="120" spans="2:12" ht="13.5" hidden="1" customHeight="1" x14ac:dyDescent="0.2">
      <c r="B120" s="3"/>
      <c r="C120" s="22"/>
      <c r="D120" s="3"/>
      <c r="E120" s="3"/>
      <c r="F120" s="3"/>
      <c r="G120" s="3"/>
      <c r="H120" s="3"/>
    </row>
    <row r="121" spans="2:12" ht="13.5" hidden="1" customHeight="1" x14ac:dyDescent="0.2">
      <c r="B121" s="3" t="s">
        <v>62</v>
      </c>
      <c r="C121" s="22"/>
      <c r="D121" s="22" t="s">
        <v>61</v>
      </c>
      <c r="E121" s="22"/>
      <c r="F121" s="22" t="s">
        <v>63</v>
      </c>
      <c r="G121" s="22" t="s">
        <v>64</v>
      </c>
      <c r="H121" s="22" t="s">
        <v>68</v>
      </c>
      <c r="K121" s="3" t="s">
        <v>173</v>
      </c>
    </row>
    <row r="122" spans="2:12" ht="13.5" hidden="1" customHeight="1" x14ac:dyDescent="0.2">
      <c r="B122" s="3"/>
      <c r="C122" s="22"/>
      <c r="D122" s="22"/>
      <c r="E122" s="22"/>
      <c r="F122" s="22"/>
      <c r="G122" s="3"/>
      <c r="H122" s="22"/>
    </row>
    <row r="123" spans="2:12" ht="13.5" hidden="1" customHeight="1" x14ac:dyDescent="0.2">
      <c r="B123" s="3" t="s">
        <v>52</v>
      </c>
      <c r="C123" s="22"/>
      <c r="D123" s="22">
        <v>2.8</v>
      </c>
      <c r="E123" s="22"/>
      <c r="F123" s="22">
        <v>2.2999999999999998</v>
      </c>
      <c r="G123" s="22">
        <v>3</v>
      </c>
      <c r="H123" s="22" t="s">
        <v>172</v>
      </c>
      <c r="K123" s="3" t="s">
        <v>174</v>
      </c>
      <c r="L123" s="3">
        <v>2.8</v>
      </c>
    </row>
    <row r="124" spans="2:12" ht="13.5" hidden="1" customHeight="1" x14ac:dyDescent="0.2">
      <c r="B124" s="3" t="s">
        <v>49</v>
      </c>
      <c r="C124" s="22"/>
      <c r="D124" s="22">
        <v>0.65</v>
      </c>
      <c r="E124" s="22"/>
      <c r="F124" s="22" t="s">
        <v>42</v>
      </c>
      <c r="G124" s="22" t="s">
        <v>65</v>
      </c>
      <c r="H124" s="22">
        <v>0.7</v>
      </c>
      <c r="K124" s="3" t="s">
        <v>175</v>
      </c>
      <c r="L124" s="3">
        <v>2.2999999999999998</v>
      </c>
    </row>
    <row r="125" spans="2:12" ht="13.5" hidden="1" customHeight="1" x14ac:dyDescent="0.2">
      <c r="B125" s="3" t="s">
        <v>50</v>
      </c>
      <c r="C125" s="22"/>
      <c r="D125" s="22">
        <v>0.7</v>
      </c>
      <c r="E125" s="22"/>
      <c r="F125" s="22">
        <v>0.85</v>
      </c>
      <c r="G125" s="22" t="s">
        <v>65</v>
      </c>
      <c r="H125" s="22">
        <v>0.85</v>
      </c>
    </row>
    <row r="126" spans="2:12" ht="13.5" hidden="1" customHeight="1" x14ac:dyDescent="0.2">
      <c r="B126" s="3" t="s">
        <v>51</v>
      </c>
      <c r="C126" s="22"/>
      <c r="D126" s="22">
        <v>0.7</v>
      </c>
      <c r="E126" s="22"/>
      <c r="F126" s="22">
        <v>0.75</v>
      </c>
      <c r="G126" s="22" t="s">
        <v>65</v>
      </c>
      <c r="H126" s="22">
        <v>0.75</v>
      </c>
    </row>
    <row r="127" spans="2:12" ht="13.5" hidden="1" customHeight="1" x14ac:dyDescent="0.2">
      <c r="B127" s="3" t="s">
        <v>53</v>
      </c>
      <c r="C127" s="22"/>
      <c r="D127" s="22">
        <v>3.4</v>
      </c>
      <c r="E127" s="22"/>
      <c r="F127" s="22">
        <v>3.1</v>
      </c>
      <c r="G127" s="22">
        <v>4</v>
      </c>
      <c r="H127" s="22">
        <v>3.1</v>
      </c>
    </row>
    <row r="128" spans="2:12" ht="13.5" hidden="1" customHeight="1" x14ac:dyDescent="0.2">
      <c r="B128" s="3" t="s">
        <v>54</v>
      </c>
      <c r="C128" s="22"/>
      <c r="D128" s="22">
        <v>3.4</v>
      </c>
      <c r="E128" s="22"/>
      <c r="F128" s="22" t="s">
        <v>66</v>
      </c>
      <c r="G128" s="22">
        <v>4.5</v>
      </c>
      <c r="H128" s="22">
        <v>3.2</v>
      </c>
    </row>
    <row r="129" spans="2:10" ht="13.5" hidden="1" customHeight="1" x14ac:dyDescent="0.2">
      <c r="B129" s="3" t="s">
        <v>55</v>
      </c>
      <c r="C129" s="22"/>
      <c r="D129" s="22">
        <v>0.93</v>
      </c>
      <c r="E129" s="22"/>
      <c r="F129" s="22">
        <v>1</v>
      </c>
      <c r="G129" s="22" t="s">
        <v>42</v>
      </c>
      <c r="H129" s="22">
        <v>1</v>
      </c>
    </row>
    <row r="130" spans="2:10" ht="13.5" hidden="1" customHeight="1" x14ac:dyDescent="0.2">
      <c r="B130" s="3" t="s">
        <v>10</v>
      </c>
      <c r="C130" s="22"/>
      <c r="D130" s="22">
        <v>0.85</v>
      </c>
      <c r="E130" s="22"/>
      <c r="F130" s="22">
        <v>0.91</v>
      </c>
      <c r="G130" s="22" t="s">
        <v>67</v>
      </c>
      <c r="H130" s="22">
        <v>0.91</v>
      </c>
    </row>
    <row r="131" spans="2:10" ht="13.5" hidden="1" customHeight="1" x14ac:dyDescent="0.2">
      <c r="B131" s="3"/>
      <c r="C131" s="22"/>
      <c r="D131" s="22"/>
      <c r="E131" s="22"/>
      <c r="F131" s="22"/>
      <c r="G131" s="22"/>
      <c r="H131" s="22"/>
    </row>
    <row r="132" spans="2:10" ht="13.5" hidden="1" customHeight="1" x14ac:dyDescent="0.2">
      <c r="B132" s="3" t="s">
        <v>11</v>
      </c>
      <c r="C132" s="22"/>
      <c r="D132" s="22">
        <v>0.85</v>
      </c>
      <c r="E132" s="22"/>
      <c r="F132" s="22">
        <v>0.95</v>
      </c>
      <c r="G132" s="22" t="s">
        <v>67</v>
      </c>
      <c r="H132" s="22">
        <v>0.95</v>
      </c>
    </row>
    <row r="133" spans="2:10" ht="13.5" hidden="1" customHeight="1" x14ac:dyDescent="0.2">
      <c r="B133" s="3" t="s">
        <v>212</v>
      </c>
      <c r="C133" s="22"/>
      <c r="D133" s="22"/>
      <c r="E133" s="22"/>
      <c r="F133" s="22"/>
      <c r="G133" s="22"/>
      <c r="H133" s="22">
        <v>1.5</v>
      </c>
    </row>
    <row r="134" spans="2:10" ht="13.5" hidden="1" customHeight="1" x14ac:dyDescent="0.2">
      <c r="B134" s="14" t="s">
        <v>213</v>
      </c>
      <c r="C134" s="22"/>
      <c r="D134" s="22"/>
      <c r="E134" s="22"/>
      <c r="F134" s="22"/>
      <c r="G134" s="22"/>
      <c r="H134" s="22">
        <v>1.06</v>
      </c>
    </row>
    <row r="135" spans="2:10" ht="13.5" hidden="1" customHeight="1" x14ac:dyDescent="0.2">
      <c r="B135" s="14"/>
      <c r="C135" s="22"/>
      <c r="D135" s="22"/>
      <c r="E135" s="22"/>
      <c r="F135" s="22"/>
      <c r="G135" s="22"/>
      <c r="H135" s="22"/>
    </row>
    <row r="136" spans="2:10" ht="13.5" hidden="1" customHeight="1" x14ac:dyDescent="0.2">
      <c r="B136" s="3"/>
      <c r="C136" s="22"/>
      <c r="D136" s="3"/>
      <c r="E136" s="3"/>
      <c r="F136" s="3"/>
      <c r="G136" s="3"/>
      <c r="H136" s="3"/>
    </row>
    <row r="137" spans="2:10" ht="13.5" hidden="1" customHeight="1" x14ac:dyDescent="0.2">
      <c r="B137" s="3"/>
      <c r="C137" s="22"/>
      <c r="D137" s="3"/>
      <c r="E137" s="3"/>
      <c r="F137" s="3"/>
      <c r="G137" s="3"/>
      <c r="H137" s="3"/>
    </row>
    <row r="138" spans="2:10" ht="13.5" hidden="1" customHeight="1" x14ac:dyDescent="0.2">
      <c r="B138" s="3" t="s">
        <v>56</v>
      </c>
      <c r="C138" s="22"/>
      <c r="D138" s="52">
        <v>2024</v>
      </c>
      <c r="E138" s="52"/>
      <c r="F138" s="52">
        <v>2025</v>
      </c>
      <c r="G138" s="52">
        <v>2022</v>
      </c>
      <c r="H138" s="52">
        <v>2023</v>
      </c>
      <c r="J138" s="3" t="s">
        <v>100</v>
      </c>
    </row>
    <row r="139" spans="2:10" ht="13.5" hidden="1" customHeight="1" x14ac:dyDescent="0.2">
      <c r="B139" s="3"/>
      <c r="C139" s="22"/>
      <c r="D139" s="22"/>
      <c r="E139" s="22"/>
      <c r="F139" s="22"/>
      <c r="G139" s="22"/>
      <c r="H139" s="22"/>
    </row>
    <row r="140" spans="2:10" ht="13.5" hidden="1" customHeight="1" x14ac:dyDescent="0.2">
      <c r="B140" s="3" t="s">
        <v>57</v>
      </c>
      <c r="C140" s="22"/>
      <c r="D140" s="52">
        <v>31.96</v>
      </c>
      <c r="E140" s="52"/>
      <c r="F140" s="52">
        <v>27.01</v>
      </c>
      <c r="G140" s="52">
        <v>17.649999999999999</v>
      </c>
      <c r="H140" s="52">
        <v>24.01</v>
      </c>
      <c r="J140" s="64">
        <f t="shared" ref="J140:J145" si="0">SUM(D140:H140)/4</f>
        <v>25.157500000000002</v>
      </c>
    </row>
    <row r="141" spans="2:10" ht="13.5" hidden="1" customHeight="1" x14ac:dyDescent="0.2">
      <c r="B141" s="3" t="s">
        <v>49</v>
      </c>
      <c r="C141" s="22"/>
      <c r="D141" s="52">
        <v>4.2</v>
      </c>
      <c r="E141" s="52"/>
      <c r="F141" s="52">
        <v>4.51</v>
      </c>
      <c r="G141" s="52">
        <v>4.57</v>
      </c>
      <c r="H141" s="52">
        <v>4.57</v>
      </c>
      <c r="J141" s="64">
        <f t="shared" si="0"/>
        <v>4.4625000000000004</v>
      </c>
    </row>
    <row r="142" spans="2:10" ht="13.5" hidden="1" customHeight="1" x14ac:dyDescent="0.2">
      <c r="B142" s="3" t="s">
        <v>50</v>
      </c>
      <c r="C142" s="22"/>
      <c r="D142" s="52">
        <v>9</v>
      </c>
      <c r="E142" s="52"/>
      <c r="F142" s="52">
        <v>9.34</v>
      </c>
      <c r="G142" s="52">
        <v>10.76</v>
      </c>
      <c r="H142" s="52">
        <v>10.78</v>
      </c>
      <c r="J142" s="64">
        <f t="shared" si="0"/>
        <v>9.9700000000000006</v>
      </c>
    </row>
    <row r="143" spans="2:10" ht="13.5" hidden="1" customHeight="1" x14ac:dyDescent="0.2">
      <c r="B143" s="3" t="s">
        <v>51</v>
      </c>
      <c r="C143" s="22"/>
      <c r="D143" s="52">
        <v>6.74</v>
      </c>
      <c r="E143" s="52"/>
      <c r="F143" s="52">
        <v>5.9</v>
      </c>
      <c r="G143" s="52">
        <v>7.07</v>
      </c>
      <c r="H143" s="52">
        <v>6.52</v>
      </c>
      <c r="J143" s="64">
        <f t="shared" si="0"/>
        <v>6.5575000000000001</v>
      </c>
    </row>
    <row r="144" spans="2:10" ht="13.5" hidden="1" customHeight="1" x14ac:dyDescent="0.2">
      <c r="B144" s="3" t="s">
        <v>58</v>
      </c>
      <c r="C144" s="22"/>
      <c r="D144" s="52">
        <v>10.46</v>
      </c>
      <c r="E144" s="52"/>
      <c r="F144" s="52">
        <v>9.59</v>
      </c>
      <c r="G144" s="52">
        <v>13.88</v>
      </c>
      <c r="H144" s="52">
        <v>11.5</v>
      </c>
      <c r="J144" s="64">
        <f t="shared" si="0"/>
        <v>11.3575</v>
      </c>
    </row>
    <row r="145" spans="2:10" ht="13.5" hidden="1" customHeight="1" x14ac:dyDescent="0.2">
      <c r="B145" s="3" t="s">
        <v>59</v>
      </c>
      <c r="C145" s="22"/>
      <c r="D145" s="52">
        <v>15.26</v>
      </c>
      <c r="E145" s="52"/>
      <c r="F145" s="52">
        <v>14.35</v>
      </c>
      <c r="G145" s="52">
        <v>14.3</v>
      </c>
      <c r="H145" s="52">
        <v>16.8</v>
      </c>
      <c r="J145" s="64">
        <f t="shared" si="0"/>
        <v>15.177499999999998</v>
      </c>
    </row>
    <row r="146" spans="2:10" ht="13.5" hidden="1" customHeight="1" x14ac:dyDescent="0.2">
      <c r="B146" s="3"/>
      <c r="C146" s="22"/>
      <c r="D146" s="3"/>
      <c r="E146" s="3"/>
      <c r="F146" s="3"/>
      <c r="G146" s="3"/>
      <c r="H146" s="3"/>
    </row>
    <row r="147" spans="2:10" ht="13.5" hidden="1" customHeight="1" x14ac:dyDescent="0.2">
      <c r="B147" s="3"/>
      <c r="C147" s="22"/>
      <c r="D147" s="3"/>
      <c r="E147" s="3"/>
      <c r="F147" s="3"/>
      <c r="G147" s="3"/>
      <c r="H147" s="3"/>
    </row>
    <row r="148" spans="2:10" ht="13.5" hidden="1" customHeight="1" x14ac:dyDescent="0.2">
      <c r="B148" s="3" t="s">
        <v>60</v>
      </c>
      <c r="C148" s="22"/>
      <c r="D148" s="3"/>
      <c r="E148" s="3"/>
      <c r="F148" s="3"/>
      <c r="G148" s="3"/>
      <c r="H148" s="3"/>
    </row>
    <row r="149" spans="2:10" ht="13.5" hidden="1" customHeight="1" x14ac:dyDescent="0.2">
      <c r="B149" s="3"/>
      <c r="C149" s="22"/>
      <c r="D149" s="3"/>
      <c r="E149" s="3"/>
      <c r="F149" s="3"/>
      <c r="G149" s="3"/>
      <c r="H149" s="3"/>
    </row>
    <row r="150" spans="2:10" ht="13.5" hidden="1" customHeight="1" x14ac:dyDescent="0.2">
      <c r="B150" s="3" t="s">
        <v>52</v>
      </c>
      <c r="C150" s="22">
        <v>1</v>
      </c>
      <c r="D150" s="3" t="s">
        <v>41</v>
      </c>
      <c r="E150" s="3"/>
      <c r="F150" s="3"/>
      <c r="G150" s="3"/>
      <c r="H150" s="3"/>
    </row>
    <row r="151" spans="2:10" ht="13.5" hidden="1" customHeight="1" x14ac:dyDescent="0.2">
      <c r="B151" s="3" t="s">
        <v>49</v>
      </c>
      <c r="C151" s="22">
        <v>3</v>
      </c>
      <c r="D151" s="3" t="s">
        <v>41</v>
      </c>
      <c r="E151" s="3"/>
      <c r="F151" s="3"/>
      <c r="G151" s="3"/>
      <c r="H151" s="3"/>
    </row>
    <row r="152" spans="2:10" ht="13.5" hidden="1" customHeight="1" x14ac:dyDescent="0.2">
      <c r="B152" s="3" t="s">
        <v>50</v>
      </c>
      <c r="C152" s="22">
        <v>3</v>
      </c>
      <c r="D152" s="3" t="s">
        <v>41</v>
      </c>
      <c r="E152" s="3"/>
      <c r="F152" s="3"/>
      <c r="G152" s="3"/>
      <c r="H152" s="3"/>
    </row>
    <row r="153" spans="2:10" ht="13.5" hidden="1" customHeight="1" x14ac:dyDescent="0.2">
      <c r="B153" s="3" t="s">
        <v>51</v>
      </c>
      <c r="C153" s="22">
        <v>3</v>
      </c>
      <c r="D153" s="3" t="s">
        <v>41</v>
      </c>
      <c r="E153" s="3"/>
      <c r="F153" s="3"/>
      <c r="G153" s="3"/>
      <c r="H153" s="3"/>
    </row>
    <row r="154" spans="2:10" ht="13.5" hidden="1" customHeight="1" x14ac:dyDescent="0.2">
      <c r="B154" s="3" t="s">
        <v>53</v>
      </c>
      <c r="C154" s="22">
        <v>1</v>
      </c>
      <c r="D154" s="3" t="s">
        <v>41</v>
      </c>
      <c r="E154" s="3"/>
      <c r="F154" s="3"/>
      <c r="G154" s="3"/>
      <c r="H154" s="3"/>
    </row>
    <row r="155" spans="2:10" ht="13.5" hidden="1" customHeight="1" x14ac:dyDescent="0.2">
      <c r="B155" s="3" t="s">
        <v>54</v>
      </c>
      <c r="C155" s="22">
        <v>2</v>
      </c>
      <c r="D155" s="3" t="s">
        <v>41</v>
      </c>
      <c r="E155" s="3"/>
      <c r="F155" s="3"/>
      <c r="G155" s="3"/>
      <c r="H155" s="3"/>
    </row>
    <row r="156" spans="2:10" ht="13.5" hidden="1" customHeight="1" x14ac:dyDescent="0.2">
      <c r="B156" s="3" t="s">
        <v>55</v>
      </c>
      <c r="C156" s="22">
        <v>1</v>
      </c>
      <c r="D156" s="3" t="s">
        <v>41</v>
      </c>
      <c r="E156" s="3"/>
      <c r="F156" s="3"/>
      <c r="G156" s="3"/>
      <c r="H156" s="3"/>
    </row>
    <row r="157" spans="2:10" ht="13.5" hidden="1" customHeight="1" x14ac:dyDescent="0.2">
      <c r="B157" s="3" t="s">
        <v>10</v>
      </c>
      <c r="C157" s="22">
        <v>2</v>
      </c>
      <c r="D157" s="3" t="s">
        <v>41</v>
      </c>
      <c r="E157" s="3"/>
      <c r="F157" s="3"/>
      <c r="G157" s="3"/>
      <c r="H157" s="3"/>
    </row>
    <row r="158" spans="2:10" ht="13.5" hidden="1" customHeight="1" x14ac:dyDescent="0.2">
      <c r="B158" s="3" t="s">
        <v>11</v>
      </c>
      <c r="C158" s="22">
        <v>2</v>
      </c>
      <c r="D158" s="3" t="s">
        <v>41</v>
      </c>
      <c r="E158" s="3"/>
      <c r="F158" s="3"/>
      <c r="G158" s="3"/>
      <c r="H158" s="3"/>
    </row>
    <row r="159" spans="2:10" ht="13.5" hidden="1" customHeight="1" x14ac:dyDescent="0.2">
      <c r="B159" s="3"/>
      <c r="C159" s="22"/>
      <c r="D159" s="3"/>
      <c r="E159" s="3"/>
      <c r="F159" s="3"/>
      <c r="G159" s="3"/>
      <c r="H159" s="3"/>
    </row>
    <row r="160" spans="2:10" ht="13.5" hidden="1" customHeight="1" x14ac:dyDescent="0.2">
      <c r="B160" s="3"/>
      <c r="C160" s="22"/>
      <c r="D160" s="3"/>
      <c r="E160" s="3"/>
      <c r="F160" s="3"/>
      <c r="G160" s="3"/>
      <c r="H160" s="3"/>
    </row>
    <row r="161" spans="2:11" ht="13.5" hidden="1" customHeight="1" x14ac:dyDescent="0.2">
      <c r="B161" s="3" t="s">
        <v>70</v>
      </c>
      <c r="C161" s="22">
        <v>300</v>
      </c>
      <c r="D161" s="24" t="s">
        <v>39</v>
      </c>
      <c r="E161" s="24"/>
      <c r="H161" s="3"/>
    </row>
    <row r="162" spans="2:11" ht="13.5" hidden="1" customHeight="1" x14ac:dyDescent="0.2">
      <c r="H162" s="3"/>
    </row>
    <row r="163" spans="2:11" ht="13.5" hidden="1" customHeight="1" x14ac:dyDescent="0.2">
      <c r="H163" s="3"/>
    </row>
    <row r="164" spans="2:11" ht="13.5" hidden="1" customHeight="1" x14ac:dyDescent="0.2">
      <c r="B164" s="26" t="s">
        <v>165</v>
      </c>
      <c r="C164" s="3"/>
      <c r="D164" s="25" t="s">
        <v>72</v>
      </c>
      <c r="E164" s="25"/>
      <c r="F164" s="3"/>
      <c r="G164" s="3"/>
      <c r="H164" s="3"/>
    </row>
    <row r="165" spans="2:11" ht="13.5" hidden="1" customHeight="1" x14ac:dyDescent="0.2">
      <c r="B165" s="22"/>
      <c r="C165" s="3"/>
      <c r="D165" s="3"/>
      <c r="E165" s="3"/>
      <c r="F165" s="3"/>
      <c r="G165" s="3"/>
      <c r="H165" s="3"/>
    </row>
    <row r="166" spans="2:11" ht="13.5" hidden="1" customHeight="1" x14ac:dyDescent="0.2">
      <c r="B166" s="26" t="s">
        <v>73</v>
      </c>
      <c r="C166" s="3"/>
      <c r="D166" s="25" t="s">
        <v>74</v>
      </c>
      <c r="E166" s="25"/>
      <c r="F166" s="3"/>
      <c r="G166" s="3"/>
      <c r="H166" s="3"/>
    </row>
    <row r="167" spans="2:11" ht="13.5" hidden="1" customHeight="1" x14ac:dyDescent="0.2">
      <c r="B167" s="22"/>
      <c r="C167" s="3"/>
      <c r="D167" s="3"/>
      <c r="E167" s="3"/>
      <c r="F167" s="3"/>
      <c r="G167" s="3"/>
      <c r="H167" s="3"/>
    </row>
    <row r="168" spans="2:11" ht="13.5" hidden="1" customHeight="1" x14ac:dyDescent="0.2">
      <c r="B168" s="26" t="s">
        <v>75</v>
      </c>
      <c r="C168" s="3"/>
      <c r="D168" s="25" t="s">
        <v>76</v>
      </c>
      <c r="E168" s="25"/>
      <c r="F168" s="3"/>
      <c r="G168" s="3"/>
      <c r="H168" s="3"/>
    </row>
    <row r="169" spans="2:11" ht="13.5" hidden="1" customHeight="1" x14ac:dyDescent="0.2">
      <c r="B169" s="3"/>
      <c r="C169" s="3"/>
      <c r="D169" s="3"/>
      <c r="E169" s="3"/>
      <c r="F169" s="3"/>
      <c r="G169" s="3"/>
      <c r="H169" s="3"/>
    </row>
    <row r="170" spans="2:11" ht="13.5" hidden="1" customHeight="1" x14ac:dyDescent="0.2">
      <c r="B170" s="3"/>
      <c r="C170" s="3"/>
      <c r="D170" s="3"/>
      <c r="E170" s="3"/>
      <c r="F170" s="3"/>
      <c r="G170" s="3"/>
      <c r="H170" s="3"/>
    </row>
    <row r="171" spans="2:11" ht="13.5" hidden="1" customHeight="1" x14ac:dyDescent="0.2">
      <c r="B171" s="3"/>
      <c r="C171" s="3"/>
      <c r="D171" s="3"/>
      <c r="E171" s="3"/>
      <c r="F171" s="3"/>
      <c r="G171" s="3"/>
      <c r="H171" s="3"/>
    </row>
    <row r="172" spans="2:11" ht="13.5" hidden="1" customHeight="1" x14ac:dyDescent="0.2">
      <c r="B172" s="3" t="s">
        <v>90</v>
      </c>
      <c r="C172" s="3"/>
      <c r="D172" s="22" t="s">
        <v>93</v>
      </c>
      <c r="E172" s="22"/>
      <c r="F172" s="22" t="s">
        <v>94</v>
      </c>
      <c r="G172" s="22" t="s">
        <v>95</v>
      </c>
      <c r="H172" s="22" t="s">
        <v>96</v>
      </c>
      <c r="J172" s="22" t="s">
        <v>97</v>
      </c>
    </row>
    <row r="173" spans="2:11" ht="13.5" hidden="1" customHeight="1" x14ac:dyDescent="0.2">
      <c r="B173" s="3"/>
      <c r="C173" s="3"/>
      <c r="D173" s="22"/>
      <c r="E173" s="22"/>
      <c r="F173" s="22"/>
      <c r="G173" s="22"/>
      <c r="H173" s="22"/>
    </row>
    <row r="174" spans="2:11" ht="13.5" hidden="1" customHeight="1" x14ac:dyDescent="0.2">
      <c r="B174" s="3" t="s">
        <v>98</v>
      </c>
      <c r="C174" s="3"/>
      <c r="D174" s="22">
        <v>22</v>
      </c>
      <c r="E174" s="22"/>
      <c r="F174" s="22">
        <v>34</v>
      </c>
      <c r="G174" s="22">
        <v>62</v>
      </c>
      <c r="H174" s="22">
        <v>112</v>
      </c>
      <c r="J174" s="22">
        <v>210</v>
      </c>
      <c r="K174" s="24" t="s">
        <v>38</v>
      </c>
    </row>
    <row r="175" spans="2:11" ht="13.5" hidden="1" customHeight="1" x14ac:dyDescent="0.2">
      <c r="C175" s="3"/>
      <c r="D175" s="22"/>
      <c r="E175" s="22"/>
      <c r="F175" s="22"/>
      <c r="G175" s="22"/>
      <c r="H175" s="22"/>
    </row>
    <row r="176" spans="2:11" ht="13.5" hidden="1" customHeight="1" x14ac:dyDescent="0.2">
      <c r="C176" s="3"/>
      <c r="D176" s="22"/>
      <c r="E176" s="22"/>
      <c r="F176" s="22"/>
      <c r="G176" s="22"/>
      <c r="H176" s="22"/>
    </row>
    <row r="177" spans="2:11" ht="13.5" hidden="1" customHeight="1" x14ac:dyDescent="0.2">
      <c r="B177" s="3" t="s">
        <v>91</v>
      </c>
      <c r="C177" s="3"/>
      <c r="D177" s="22"/>
      <c r="E177" s="22"/>
      <c r="F177" s="22"/>
      <c r="G177" s="22"/>
      <c r="H177" s="22"/>
    </row>
    <row r="178" spans="2:11" ht="13.5" hidden="1" customHeight="1" x14ac:dyDescent="0.2">
      <c r="C178" s="3"/>
      <c r="D178" s="22"/>
      <c r="E178" s="22"/>
      <c r="F178" s="22"/>
      <c r="G178" s="22"/>
      <c r="H178" s="22"/>
    </row>
    <row r="179" spans="2:11" ht="13.5" hidden="1" customHeight="1" x14ac:dyDescent="0.2">
      <c r="B179" s="3" t="s">
        <v>50</v>
      </c>
      <c r="C179" s="3"/>
      <c r="D179" s="22">
        <v>15</v>
      </c>
      <c r="E179" s="22"/>
      <c r="F179" s="22">
        <v>30</v>
      </c>
      <c r="G179" s="22">
        <v>60</v>
      </c>
      <c r="H179" s="22">
        <v>70</v>
      </c>
      <c r="J179" s="22">
        <v>90</v>
      </c>
      <c r="K179" s="24" t="s">
        <v>38</v>
      </c>
    </row>
    <row r="180" spans="2:11" ht="13.5" hidden="1" customHeight="1" x14ac:dyDescent="0.2">
      <c r="B180" s="3" t="s">
        <v>51</v>
      </c>
      <c r="C180" s="3"/>
      <c r="D180" s="22">
        <v>15</v>
      </c>
      <c r="E180" s="22"/>
      <c r="F180" s="22">
        <v>40</v>
      </c>
      <c r="G180" s="22">
        <v>60</v>
      </c>
      <c r="H180" s="22">
        <v>70</v>
      </c>
      <c r="J180" s="22">
        <v>90</v>
      </c>
      <c r="K180" s="24" t="s">
        <v>38</v>
      </c>
    </row>
    <row r="181" spans="2:11" ht="13.5" hidden="1" customHeight="1" x14ac:dyDescent="0.2">
      <c r="B181" s="3" t="s">
        <v>10</v>
      </c>
      <c r="C181" s="3"/>
      <c r="D181" s="22">
        <v>0.7</v>
      </c>
      <c r="E181" s="22"/>
      <c r="F181" s="22">
        <v>0.6</v>
      </c>
      <c r="G181" s="22">
        <v>0.6</v>
      </c>
      <c r="H181" s="22">
        <v>0.55000000000000004</v>
      </c>
      <c r="J181" s="22">
        <v>0.5</v>
      </c>
      <c r="K181" s="24" t="s">
        <v>152</v>
      </c>
    </row>
    <row r="182" spans="2:11" ht="13.5" hidden="1" customHeight="1" x14ac:dyDescent="0.2">
      <c r="C182" s="3"/>
      <c r="D182" s="22"/>
      <c r="E182" s="22"/>
      <c r="F182" s="22"/>
      <c r="G182" s="22"/>
      <c r="H182" s="22"/>
    </row>
    <row r="183" spans="2:11" ht="13.5" hidden="1" customHeight="1" x14ac:dyDescent="0.2">
      <c r="D183" s="4"/>
      <c r="E183" s="4"/>
      <c r="F183" s="4"/>
      <c r="G183" s="4"/>
      <c r="H183" s="4"/>
    </row>
    <row r="184" spans="2:11" ht="13.5" customHeight="1" x14ac:dyDescent="0.2">
      <c r="D184" s="4"/>
      <c r="E184" s="4"/>
      <c r="F184" s="4"/>
      <c r="G184" s="4"/>
      <c r="H184" s="4"/>
    </row>
    <row r="185" spans="2:11" ht="13.5" customHeight="1" x14ac:dyDescent="0.2">
      <c r="D185" s="4"/>
      <c r="E185" s="4"/>
      <c r="F185" s="4"/>
      <c r="G185" s="4"/>
      <c r="H185" s="4"/>
    </row>
    <row r="186" spans="2:11" ht="13.5" customHeight="1" x14ac:dyDescent="0.2">
      <c r="D186" s="4"/>
      <c r="E186" s="4"/>
      <c r="F186" s="4"/>
      <c r="G186" s="4"/>
      <c r="H186" s="4"/>
    </row>
    <row r="187" spans="2:11" ht="13.5" customHeight="1" x14ac:dyDescent="0.2">
      <c r="D187" s="4"/>
      <c r="E187" s="4"/>
      <c r="F187" s="4"/>
      <c r="G187" s="4"/>
      <c r="H187" s="4"/>
    </row>
    <row r="188" spans="2:11" ht="13.5" customHeight="1" x14ac:dyDescent="0.2">
      <c r="D188" s="4"/>
      <c r="E188" s="4"/>
      <c r="F188" s="4"/>
      <c r="G188" s="4"/>
      <c r="H188" s="4"/>
    </row>
    <row r="189" spans="2:11" ht="13.5" customHeight="1" x14ac:dyDescent="0.2">
      <c r="D189" s="4"/>
      <c r="E189" s="4"/>
      <c r="F189" s="4"/>
      <c r="G189" s="4"/>
      <c r="H189" s="4"/>
    </row>
    <row r="193" spans="2:8" ht="13.5" customHeight="1" x14ac:dyDescent="0.2">
      <c r="B193" s="3"/>
      <c r="C193" s="3"/>
      <c r="D193" s="3"/>
      <c r="E193" s="3"/>
      <c r="F193" s="3"/>
      <c r="G193" s="3"/>
      <c r="H193" s="3"/>
    </row>
    <row r="194" spans="2:8" ht="13.5" customHeight="1" x14ac:dyDescent="0.2">
      <c r="B194" s="3"/>
      <c r="C194" s="3"/>
      <c r="D194" s="3"/>
      <c r="E194" s="3"/>
      <c r="F194" s="3"/>
      <c r="G194" s="3"/>
      <c r="H194" s="3"/>
    </row>
    <row r="195" spans="2:8" ht="13.5" customHeight="1" x14ac:dyDescent="0.2">
      <c r="B195" s="3"/>
      <c r="C195" s="3"/>
      <c r="D195" s="3"/>
      <c r="E195" s="3"/>
      <c r="F195" s="3"/>
      <c r="G195" s="3"/>
      <c r="H195" s="3"/>
    </row>
    <row r="196" spans="2:8" ht="13.5" customHeight="1" x14ac:dyDescent="0.2">
      <c r="B196" s="3"/>
      <c r="C196" s="3"/>
      <c r="D196" s="3"/>
      <c r="E196" s="3"/>
      <c r="F196" s="3"/>
      <c r="G196" s="3"/>
      <c r="H196" s="3"/>
    </row>
    <row r="197" spans="2:8" ht="13.5" customHeight="1" x14ac:dyDescent="0.2">
      <c r="B197" s="3"/>
      <c r="C197" s="3"/>
      <c r="D197" s="3"/>
      <c r="E197" s="3"/>
      <c r="F197" s="3"/>
      <c r="G197" s="3"/>
      <c r="H197" s="3"/>
    </row>
    <row r="198" spans="2:8" ht="13.5" customHeight="1" x14ac:dyDescent="0.2">
      <c r="B198" s="3"/>
      <c r="C198" s="3"/>
      <c r="D198" s="3"/>
      <c r="E198" s="3"/>
      <c r="F198" s="3"/>
      <c r="G198" s="3"/>
      <c r="H198" s="3"/>
    </row>
    <row r="199" spans="2:8" ht="13.5" customHeight="1" x14ac:dyDescent="0.2">
      <c r="B199" s="3"/>
      <c r="C199" s="3"/>
      <c r="D199" s="3"/>
      <c r="E199" s="3"/>
      <c r="F199" s="3"/>
      <c r="G199" s="3"/>
      <c r="H199" s="3"/>
    </row>
    <row r="200" spans="2:8" ht="13.5" customHeight="1" x14ac:dyDescent="0.2">
      <c r="B200" s="3"/>
      <c r="C200" s="3"/>
      <c r="D200" s="3"/>
      <c r="E200" s="3"/>
      <c r="F200" s="3"/>
      <c r="G200" s="3"/>
      <c r="H200" s="3"/>
    </row>
    <row r="201" spans="2:8" ht="13.5" customHeight="1" x14ac:dyDescent="0.2">
      <c r="B201" s="3"/>
      <c r="C201" s="3"/>
      <c r="D201" s="3"/>
      <c r="E201" s="3"/>
      <c r="F201" s="3"/>
      <c r="G201" s="3"/>
      <c r="H201" s="3"/>
    </row>
    <row r="202" spans="2:8" ht="13.5" customHeight="1" x14ac:dyDescent="0.2">
      <c r="B202" s="3"/>
      <c r="C202" s="3"/>
      <c r="D202" s="3"/>
      <c r="E202" s="3"/>
      <c r="F202" s="3"/>
      <c r="G202" s="3"/>
      <c r="H202" s="3"/>
    </row>
    <row r="203" spans="2:8" ht="13.5" customHeight="1" x14ac:dyDescent="0.2">
      <c r="B203" s="3"/>
      <c r="C203" s="3"/>
      <c r="D203" s="3"/>
      <c r="E203" s="3"/>
      <c r="F203" s="3"/>
      <c r="G203" s="3"/>
      <c r="H203" s="3"/>
    </row>
    <row r="204" spans="2:8" ht="13.5" customHeight="1" x14ac:dyDescent="0.2">
      <c r="B204" s="3"/>
      <c r="C204" s="3"/>
      <c r="D204" s="3"/>
      <c r="E204" s="3"/>
      <c r="F204" s="3"/>
      <c r="G204" s="3"/>
      <c r="H204" s="3"/>
    </row>
    <row r="205" spans="2:8" ht="13.5" customHeight="1" x14ac:dyDescent="0.2">
      <c r="B205" s="3"/>
      <c r="C205" s="3"/>
      <c r="D205" s="3"/>
      <c r="E205" s="3"/>
      <c r="F205" s="3"/>
      <c r="G205" s="3"/>
      <c r="H205" s="3"/>
    </row>
    <row r="206" spans="2:8" ht="13.5" customHeight="1" x14ac:dyDescent="0.2">
      <c r="B206" s="3"/>
      <c r="C206" s="3"/>
      <c r="D206" s="3"/>
      <c r="E206" s="3"/>
      <c r="F206" s="3"/>
      <c r="G206" s="3"/>
      <c r="H206" s="3"/>
    </row>
    <row r="207" spans="2:8" ht="13.5" customHeight="1" x14ac:dyDescent="0.2">
      <c r="B207" s="3"/>
      <c r="C207" s="3"/>
      <c r="D207" s="3"/>
      <c r="E207" s="3"/>
      <c r="F207" s="3"/>
      <c r="G207" s="3"/>
      <c r="H207" s="3"/>
    </row>
    <row r="208" spans="2:8" ht="13.5" customHeight="1" x14ac:dyDescent="0.2">
      <c r="B208" s="3"/>
      <c r="C208" s="3"/>
      <c r="D208" s="3"/>
      <c r="E208" s="3"/>
      <c r="F208" s="3"/>
      <c r="G208" s="3"/>
      <c r="H208" s="3"/>
    </row>
    <row r="209" spans="2:8" ht="13.5" customHeight="1" x14ac:dyDescent="0.2">
      <c r="B209" s="3"/>
      <c r="C209" s="3"/>
      <c r="D209" s="3"/>
      <c r="E209" s="3"/>
      <c r="F209" s="3"/>
      <c r="G209" s="3"/>
      <c r="H209" s="3"/>
    </row>
    <row r="210" spans="2:8" ht="13.5" customHeight="1" x14ac:dyDescent="0.2">
      <c r="B210" s="3"/>
      <c r="C210" s="3"/>
      <c r="D210" s="3"/>
      <c r="E210" s="3"/>
      <c r="F210" s="3"/>
      <c r="G210" s="3"/>
      <c r="H210" s="3"/>
    </row>
    <row r="211" spans="2:8" ht="13.5" customHeight="1" x14ac:dyDescent="0.2">
      <c r="B211" s="3"/>
      <c r="C211" s="3"/>
      <c r="D211" s="3"/>
      <c r="E211" s="3"/>
      <c r="F211" s="3"/>
      <c r="G211" s="3"/>
      <c r="H211" s="3"/>
    </row>
    <row r="212" spans="2:8" ht="13.5" customHeight="1" x14ac:dyDescent="0.2">
      <c r="B212" s="3"/>
      <c r="C212" s="3"/>
      <c r="D212" s="3"/>
      <c r="E212" s="3"/>
      <c r="F212" s="3"/>
      <c r="G212" s="3"/>
      <c r="H212" s="3"/>
    </row>
    <row r="213" spans="2:8" ht="13.5" customHeight="1" x14ac:dyDescent="0.2">
      <c r="B213" s="3"/>
      <c r="C213" s="3"/>
      <c r="D213" s="3"/>
      <c r="E213" s="3"/>
      <c r="F213" s="3"/>
      <c r="G213" s="3"/>
      <c r="H213" s="3"/>
    </row>
    <row r="214" spans="2:8" ht="13.5" customHeight="1" x14ac:dyDescent="0.2">
      <c r="B214" s="3"/>
      <c r="C214" s="3"/>
      <c r="D214" s="3"/>
      <c r="E214" s="3"/>
      <c r="F214" s="3"/>
      <c r="G214" s="3"/>
      <c r="H214" s="3"/>
    </row>
  </sheetData>
  <sheetProtection algorithmName="SHA-512" hashValue="4QY/DHnDqbzcFIkDvkW33gzbovQNDhv/cfQQ9SxCl2IIYwJkKNP/9P+w2ovwRTs0lFbSxdqj0lN4kDBPLRDnFg==" saltValue="FrDiSfiL/YpaNczwVb6JnA==" spinCount="100000" sheet="1" selectLockedCells="1"/>
  <mergeCells count="23">
    <mergeCell ref="B10:F10"/>
    <mergeCell ref="G10:H10"/>
    <mergeCell ref="B5:H5"/>
    <mergeCell ref="B6:H6"/>
    <mergeCell ref="B9:F9"/>
    <mergeCell ref="G9:H9"/>
    <mergeCell ref="B8:H8"/>
    <mergeCell ref="B51:F51"/>
    <mergeCell ref="B11:F11"/>
    <mergeCell ref="B12:F12"/>
    <mergeCell ref="B13:F13"/>
    <mergeCell ref="B14:F14"/>
    <mergeCell ref="B15:F15"/>
    <mergeCell ref="B34:H34"/>
    <mergeCell ref="B42:H42"/>
    <mergeCell ref="B48:H48"/>
    <mergeCell ref="B37:H37"/>
    <mergeCell ref="B23:H23"/>
    <mergeCell ref="B29:H29"/>
    <mergeCell ref="B27:H27"/>
    <mergeCell ref="D16:F16"/>
    <mergeCell ref="G16:H16"/>
    <mergeCell ref="B18:H18"/>
  </mergeCells>
  <phoneticPr fontId="4" type="noConversion"/>
  <conditionalFormatting sqref="D49:G49 D50:H50">
    <cfRule type="cellIs" dxfId="4" priority="3" stopIfTrue="1" operator="equal">
      <formula>"System vervollstän-digen"</formula>
    </cfRule>
    <cfRule type="cellIs" dxfId="3" priority="4" stopIfTrue="1" operator="equal">
      <formula>"Pkt. 3.1-3.4 vervollstän-digen"</formula>
    </cfRule>
  </conditionalFormatting>
  <conditionalFormatting sqref="F21">
    <cfRule type="cellIs" dxfId="2" priority="5" stopIfTrue="1" operator="equal">
      <formula>0</formula>
    </cfRule>
  </conditionalFormatting>
  <conditionalFormatting sqref="G51:H51">
    <cfRule type="cellIs" dxfId="1" priority="1" stopIfTrue="1" operator="equal">
      <formula>"NEIN"</formula>
    </cfRule>
    <cfRule type="cellIs" dxfId="0" priority="2" stopIfTrue="1" operator="equal">
      <formula>"JA"</formula>
    </cfRule>
  </conditionalFormatting>
  <dataValidations count="4">
    <dataValidation type="list" allowBlank="1" showInputMessage="1" showErrorMessage="1" sqref="G9:H9" xr:uid="{00000000-0002-0000-0000-000000000000}">
      <formula1>$B$96:$B$108</formula1>
    </dataValidation>
    <dataValidation type="list" allowBlank="1" showInputMessage="1" showErrorMessage="1" sqref="F17" xr:uid="{00000000-0002-0000-0000-000001000000}">
      <formula1>$B$113:$B$118</formula1>
    </dataValidation>
    <dataValidation type="list" allowBlank="1" showInputMessage="1" showErrorMessage="1" sqref="G10:H10" xr:uid="{00000000-0002-0000-0000-000002000000}">
      <formula1>$K$122:$K$124</formula1>
    </dataValidation>
    <dataValidation type="list" allowBlank="1" showInputMessage="1" showErrorMessage="1" sqref="H17" xr:uid="{00000000-0002-0000-0000-000003000000}">
      <formula1>$B$131:$B$134</formula1>
    </dataValidation>
  </dataValidations>
  <hyperlinks>
    <hyperlink ref="D164" r:id="rId1" xr:uid="{00000000-0004-0000-0000-000000000000}"/>
    <hyperlink ref="D166" r:id="rId2" tooltip="blocked::http://www.bfs.admin.ch/bfs/portal/de/index/themen/05/02/blank/data.html" xr:uid="{00000000-0004-0000-0000-000001000000}"/>
    <hyperlink ref="D168" r:id="rId3" tooltip="blocked::http://www.bfs.admin.ch/bfs/portal/de/index/themen/05/04/blank/data/03.html" xr:uid="{00000000-0004-0000-0000-000002000000}"/>
  </hyperlinks>
  <pageMargins left="0.78740157480314965" right="0.70866141732283472" top="0.43307086614173229" bottom="0.59055118110236227" header="0.15748031496062992" footer="0.51181102362204722"/>
  <pageSetup paperSize="9" scale="85" orientation="portrait" r:id="rId4"/>
  <headerFooter alignWithMargins="0"/>
  <ignoredErrors>
    <ignoredError sqref="F45" 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showRowColHeaders="0" workbookViewId="0">
      <selection activeCell="L39" sqref="L39"/>
    </sheetView>
  </sheetViews>
  <sheetFormatPr baseColWidth="10" defaultRowHeight="12.75" x14ac:dyDescent="0.2"/>
  <sheetData/>
  <sheetProtection password="C18A" sheet="1" objects="1" scenarios="1"/>
  <phoneticPr fontId="4"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79"/>
  <sheetViews>
    <sheetView showGridLines="0" workbookViewId="0">
      <selection activeCell="B1" sqref="B1"/>
    </sheetView>
  </sheetViews>
  <sheetFormatPr baseColWidth="10" defaultColWidth="11.42578125" defaultRowHeight="12" x14ac:dyDescent="0.2"/>
  <cols>
    <col min="1" max="1" width="4.140625" style="3" customWidth="1"/>
    <col min="2" max="2" width="39.5703125" style="3" customWidth="1"/>
    <col min="3" max="3" width="41.140625" style="3" customWidth="1"/>
    <col min="4" max="4" width="2.85546875" style="3" customWidth="1"/>
    <col min="5" max="16384" width="11.42578125" style="3"/>
  </cols>
  <sheetData>
    <row r="2" spans="2:3" ht="18" x14ac:dyDescent="0.25">
      <c r="B2" s="39" t="s">
        <v>128</v>
      </c>
      <c r="C2" s="38"/>
    </row>
    <row r="3" spans="2:3" x14ac:dyDescent="0.2">
      <c r="B3" s="11"/>
      <c r="C3" s="38"/>
    </row>
    <row r="4" spans="2:3" ht="24.75" customHeight="1" x14ac:dyDescent="0.2">
      <c r="B4" s="118" t="s">
        <v>129</v>
      </c>
      <c r="C4" s="119"/>
    </row>
    <row r="5" spans="2:3" x14ac:dyDescent="0.2">
      <c r="B5" s="11"/>
      <c r="C5" s="38"/>
    </row>
    <row r="6" spans="2:3" ht="15.75" x14ac:dyDescent="0.25">
      <c r="B6" s="40" t="s">
        <v>130</v>
      </c>
      <c r="C6" s="38"/>
    </row>
    <row r="7" spans="2:3" x14ac:dyDescent="0.2">
      <c r="B7" s="14" t="s">
        <v>131</v>
      </c>
      <c r="C7" s="38"/>
    </row>
    <row r="8" spans="2:3" x14ac:dyDescent="0.2">
      <c r="B8" s="14"/>
      <c r="C8" s="38"/>
    </row>
    <row r="9" spans="2:3" x14ac:dyDescent="0.2">
      <c r="B9" s="14" t="s">
        <v>68</v>
      </c>
      <c r="C9" s="38"/>
    </row>
    <row r="10" spans="2:3" x14ac:dyDescent="0.2">
      <c r="B10" s="14" t="s">
        <v>132</v>
      </c>
      <c r="C10" s="38"/>
    </row>
    <row r="11" spans="2:3" x14ac:dyDescent="0.2">
      <c r="B11" s="14" t="s">
        <v>133</v>
      </c>
      <c r="C11" s="38"/>
    </row>
    <row r="12" spans="2:3" x14ac:dyDescent="0.2">
      <c r="B12" s="14" t="s">
        <v>56</v>
      </c>
      <c r="C12" s="38"/>
    </row>
    <row r="13" spans="2:3" x14ac:dyDescent="0.2">
      <c r="B13" s="14"/>
      <c r="C13" s="38"/>
    </row>
    <row r="14" spans="2:3" ht="15.75" x14ac:dyDescent="0.25">
      <c r="B14" s="40" t="s">
        <v>134</v>
      </c>
      <c r="C14" s="38"/>
    </row>
    <row r="15" spans="2:3" x14ac:dyDescent="0.2">
      <c r="B15" s="11"/>
      <c r="C15" s="38"/>
    </row>
    <row r="16" spans="2:3" ht="96.75" customHeight="1" x14ac:dyDescent="0.2">
      <c r="B16" s="116" t="s">
        <v>179</v>
      </c>
      <c r="C16" s="117"/>
    </row>
    <row r="17" spans="1:3" x14ac:dyDescent="0.2">
      <c r="B17" s="11"/>
      <c r="C17" s="38"/>
    </row>
    <row r="18" spans="1:3" ht="35.25" customHeight="1" x14ac:dyDescent="0.2">
      <c r="B18" s="116" t="s">
        <v>150</v>
      </c>
      <c r="C18" s="117"/>
    </row>
    <row r="19" spans="1:3" x14ac:dyDescent="0.2">
      <c r="B19" s="11"/>
      <c r="C19" s="38"/>
    </row>
    <row r="20" spans="1:3" ht="12" customHeight="1" x14ac:dyDescent="0.2">
      <c r="B20" s="116" t="s">
        <v>159</v>
      </c>
      <c r="C20" s="117"/>
    </row>
    <row r="21" spans="1:3" ht="12" customHeight="1" x14ac:dyDescent="0.2">
      <c r="B21" s="55"/>
      <c r="C21" s="56"/>
    </row>
    <row r="22" spans="1:3" ht="15.75" x14ac:dyDescent="0.25">
      <c r="B22" s="40" t="s">
        <v>160</v>
      </c>
      <c r="C22" s="38"/>
    </row>
    <row r="23" spans="1:3" ht="12" customHeight="1" x14ac:dyDescent="0.2">
      <c r="B23" s="55"/>
      <c r="C23" s="56"/>
    </row>
    <row r="24" spans="1:3" ht="12" customHeight="1" x14ac:dyDescent="0.2">
      <c r="B24" s="116" t="s">
        <v>161</v>
      </c>
      <c r="C24" s="117"/>
    </row>
    <row r="25" spans="1:3" ht="12" customHeight="1" x14ac:dyDescent="0.2">
      <c r="B25" s="116" t="s">
        <v>211</v>
      </c>
      <c r="C25" s="117"/>
    </row>
    <row r="26" spans="1:3" ht="12" customHeight="1" x14ac:dyDescent="0.2">
      <c r="B26" s="116" t="s">
        <v>162</v>
      </c>
      <c r="C26" s="117"/>
    </row>
    <row r="27" spans="1:3" ht="12" customHeight="1" x14ac:dyDescent="0.2">
      <c r="B27" s="116" t="s">
        <v>163</v>
      </c>
      <c r="C27" s="117"/>
    </row>
    <row r="28" spans="1:3" ht="12" customHeight="1" x14ac:dyDescent="0.2">
      <c r="B28" s="55"/>
      <c r="C28" s="56"/>
    </row>
    <row r="29" spans="1:3" x14ac:dyDescent="0.2">
      <c r="B29" s="11"/>
      <c r="C29" s="38"/>
    </row>
    <row r="30" spans="1:3" ht="18" x14ac:dyDescent="0.25">
      <c r="B30" s="39" t="s">
        <v>71</v>
      </c>
      <c r="C30" s="38"/>
    </row>
    <row r="31" spans="1:3" x14ac:dyDescent="0.2">
      <c r="B31" s="11"/>
      <c r="C31" s="38"/>
    </row>
    <row r="32" spans="1:3" x14ac:dyDescent="0.2">
      <c r="A32" s="69">
        <v>1</v>
      </c>
      <c r="B32" s="74" t="s">
        <v>0</v>
      </c>
      <c r="C32" s="71"/>
    </row>
    <row r="33" spans="1:3" x14ac:dyDescent="0.2">
      <c r="A33" s="70">
        <v>1.1000000000000001</v>
      </c>
      <c r="B33" s="70" t="s">
        <v>1</v>
      </c>
      <c r="C33" s="72" t="s">
        <v>178</v>
      </c>
    </row>
    <row r="34" spans="1:3" x14ac:dyDescent="0.2">
      <c r="A34" s="70">
        <v>1.2</v>
      </c>
      <c r="B34" s="70" t="s">
        <v>171</v>
      </c>
      <c r="C34" s="71" t="s">
        <v>177</v>
      </c>
    </row>
    <row r="35" spans="1:3" ht="24" x14ac:dyDescent="0.2">
      <c r="A35" s="70">
        <v>1.3</v>
      </c>
      <c r="B35" s="70" t="s">
        <v>104</v>
      </c>
      <c r="C35" s="71" t="s">
        <v>126</v>
      </c>
    </row>
    <row r="36" spans="1:3" x14ac:dyDescent="0.2">
      <c r="A36" s="70">
        <v>1.4</v>
      </c>
      <c r="B36" s="70" t="s">
        <v>105</v>
      </c>
      <c r="C36" s="71" t="s">
        <v>127</v>
      </c>
    </row>
    <row r="37" spans="1:3" x14ac:dyDescent="0.2">
      <c r="A37" s="70">
        <v>1.5</v>
      </c>
      <c r="B37" s="70" t="s">
        <v>106</v>
      </c>
      <c r="C37" s="71" t="s">
        <v>125</v>
      </c>
    </row>
    <row r="38" spans="1:3" x14ac:dyDescent="0.2">
      <c r="A38" s="70">
        <v>1.6</v>
      </c>
      <c r="B38" s="70" t="s">
        <v>5</v>
      </c>
      <c r="C38" s="71" t="s">
        <v>108</v>
      </c>
    </row>
    <row r="39" spans="1:3" ht="60" x14ac:dyDescent="0.2">
      <c r="A39" s="70">
        <v>1.7</v>
      </c>
      <c r="B39" s="70" t="s">
        <v>6</v>
      </c>
      <c r="C39" s="71" t="s">
        <v>187</v>
      </c>
    </row>
    <row r="40" spans="1:3" x14ac:dyDescent="0.2">
      <c r="A40" s="70"/>
      <c r="B40" s="70"/>
      <c r="C40" s="71"/>
    </row>
    <row r="41" spans="1:3" ht="36" x14ac:dyDescent="0.2">
      <c r="A41" s="69">
        <v>2</v>
      </c>
      <c r="B41" s="74" t="s">
        <v>46</v>
      </c>
      <c r="C41" s="71" t="s">
        <v>112</v>
      </c>
    </row>
    <row r="42" spans="1:3" x14ac:dyDescent="0.2">
      <c r="A42" s="70">
        <v>2.1</v>
      </c>
      <c r="B42" s="70" t="s">
        <v>62</v>
      </c>
      <c r="C42" s="71" t="s">
        <v>186</v>
      </c>
    </row>
    <row r="43" spans="1:3" x14ac:dyDescent="0.2">
      <c r="A43" s="70">
        <v>2.2000000000000002</v>
      </c>
      <c r="B43" s="70" t="s">
        <v>14</v>
      </c>
      <c r="C43" s="71" t="s">
        <v>109</v>
      </c>
    </row>
    <row r="44" spans="1:3" x14ac:dyDescent="0.2">
      <c r="A44" s="70">
        <v>2.2999999999999998</v>
      </c>
      <c r="B44" s="70" t="s">
        <v>15</v>
      </c>
      <c r="C44" s="71" t="s">
        <v>110</v>
      </c>
    </row>
    <row r="45" spans="1:3" x14ac:dyDescent="0.2">
      <c r="A45" s="70">
        <v>2.4</v>
      </c>
      <c r="B45" s="70" t="s">
        <v>16</v>
      </c>
      <c r="C45" s="71" t="s">
        <v>111</v>
      </c>
    </row>
    <row r="46" spans="1:3" x14ac:dyDescent="0.2">
      <c r="A46" s="70"/>
      <c r="B46" s="70"/>
      <c r="C46" s="71"/>
    </row>
    <row r="47" spans="1:3" ht="60" x14ac:dyDescent="0.2">
      <c r="A47" s="69">
        <v>3</v>
      </c>
      <c r="B47" s="74" t="s">
        <v>32</v>
      </c>
      <c r="C47" s="71" t="s">
        <v>207</v>
      </c>
    </row>
    <row r="48" spans="1:3" ht="48" x14ac:dyDescent="0.2">
      <c r="A48" s="70">
        <v>3.1</v>
      </c>
      <c r="B48" s="70" t="s">
        <v>201</v>
      </c>
      <c r="C48" s="71" t="s">
        <v>202</v>
      </c>
    </row>
    <row r="49" spans="1:3" ht="24" x14ac:dyDescent="0.2">
      <c r="A49" s="70">
        <v>3.2</v>
      </c>
      <c r="B49" s="70" t="s">
        <v>170</v>
      </c>
      <c r="C49" s="71" t="s">
        <v>208</v>
      </c>
    </row>
    <row r="50" spans="1:3" x14ac:dyDescent="0.2">
      <c r="A50" s="70">
        <v>3.3</v>
      </c>
      <c r="B50" s="70" t="s">
        <v>17</v>
      </c>
      <c r="C50" s="71" t="s">
        <v>209</v>
      </c>
    </row>
    <row r="51" spans="1:3" x14ac:dyDescent="0.2">
      <c r="A51" s="70"/>
      <c r="B51" s="70"/>
      <c r="C51" s="71"/>
    </row>
    <row r="52" spans="1:3" x14ac:dyDescent="0.2">
      <c r="A52" s="69">
        <v>4</v>
      </c>
      <c r="B52" s="74" t="s">
        <v>193</v>
      </c>
      <c r="C52" s="71"/>
    </row>
    <row r="53" spans="1:3" ht="24" x14ac:dyDescent="0.2">
      <c r="A53" s="70">
        <v>4.0999999999999996</v>
      </c>
      <c r="B53" s="70" t="s">
        <v>199</v>
      </c>
      <c r="C53" s="71" t="s">
        <v>203</v>
      </c>
    </row>
    <row r="54" spans="1:3" x14ac:dyDescent="0.2">
      <c r="A54" s="69">
        <v>5</v>
      </c>
      <c r="B54" s="74" t="s">
        <v>101</v>
      </c>
      <c r="C54" s="71"/>
    </row>
    <row r="55" spans="1:3" ht="24" x14ac:dyDescent="0.2">
      <c r="A55" s="70">
        <v>5.0999999999999996</v>
      </c>
      <c r="B55" s="70" t="s">
        <v>102</v>
      </c>
      <c r="C55" s="71" t="s">
        <v>113</v>
      </c>
    </row>
    <row r="56" spans="1:3" ht="24" x14ac:dyDescent="0.2">
      <c r="A56" s="70">
        <v>5.2</v>
      </c>
      <c r="B56" s="70" t="s">
        <v>18</v>
      </c>
      <c r="C56" s="71" t="s">
        <v>114</v>
      </c>
    </row>
    <row r="57" spans="1:3" x14ac:dyDescent="0.2">
      <c r="A57" s="70">
        <v>5.3</v>
      </c>
      <c r="B57" s="70" t="s">
        <v>19</v>
      </c>
      <c r="C57" s="71" t="s">
        <v>115</v>
      </c>
    </row>
    <row r="58" spans="1:3" ht="24" x14ac:dyDescent="0.2">
      <c r="A58" s="70">
        <v>5.4</v>
      </c>
      <c r="B58" s="70" t="s">
        <v>20</v>
      </c>
      <c r="C58" s="71" t="s">
        <v>206</v>
      </c>
    </row>
    <row r="59" spans="1:3" x14ac:dyDescent="0.2">
      <c r="A59" s="70"/>
      <c r="B59" s="70"/>
      <c r="C59" s="71"/>
    </row>
    <row r="60" spans="1:3" x14ac:dyDescent="0.2">
      <c r="A60" s="69">
        <v>6</v>
      </c>
      <c r="B60" s="74" t="s">
        <v>21</v>
      </c>
      <c r="C60" s="71"/>
    </row>
    <row r="61" spans="1:3" ht="24" x14ac:dyDescent="0.2">
      <c r="A61" s="70">
        <v>6.1</v>
      </c>
      <c r="B61" s="70" t="s">
        <v>22</v>
      </c>
      <c r="C61" s="71" t="s">
        <v>116</v>
      </c>
    </row>
    <row r="62" spans="1:3" ht="60" x14ac:dyDescent="0.2">
      <c r="A62" s="70">
        <v>6.2</v>
      </c>
      <c r="B62" s="70" t="s">
        <v>107</v>
      </c>
      <c r="C62" s="71" t="s">
        <v>117</v>
      </c>
    </row>
    <row r="63" spans="1:3" x14ac:dyDescent="0.2">
      <c r="A63" s="70"/>
      <c r="B63" s="70"/>
      <c r="C63" s="71"/>
    </row>
    <row r="64" spans="1:3" x14ac:dyDescent="0.2">
      <c r="A64" s="69">
        <v>7</v>
      </c>
      <c r="B64" s="74" t="s">
        <v>79</v>
      </c>
      <c r="C64" s="71"/>
    </row>
    <row r="65" spans="1:3" ht="24" x14ac:dyDescent="0.2">
      <c r="A65" s="70">
        <v>7.1</v>
      </c>
      <c r="B65" s="70" t="s">
        <v>188</v>
      </c>
      <c r="C65" s="71" t="s">
        <v>204</v>
      </c>
    </row>
    <row r="66" spans="1:3" x14ac:dyDescent="0.2">
      <c r="A66" s="70">
        <v>7.2</v>
      </c>
      <c r="B66" s="70" t="s">
        <v>26</v>
      </c>
      <c r="C66" s="71" t="s">
        <v>216</v>
      </c>
    </row>
    <row r="67" spans="1:3" ht="24" x14ac:dyDescent="0.2">
      <c r="A67" s="70">
        <v>7.3</v>
      </c>
      <c r="B67" s="70" t="s">
        <v>77</v>
      </c>
      <c r="C67" s="71" t="s">
        <v>118</v>
      </c>
    </row>
    <row r="68" spans="1:3" ht="24" x14ac:dyDescent="0.2">
      <c r="A68" s="70">
        <v>7.4</v>
      </c>
      <c r="B68" s="70" t="s">
        <v>78</v>
      </c>
      <c r="C68" s="71" t="s">
        <v>119</v>
      </c>
    </row>
    <row r="69" spans="1:3" x14ac:dyDescent="0.2">
      <c r="A69" s="70"/>
      <c r="B69" s="70"/>
      <c r="C69" s="71"/>
    </row>
    <row r="70" spans="1:3" x14ac:dyDescent="0.2">
      <c r="A70" s="69">
        <v>8</v>
      </c>
      <c r="B70" s="74" t="s">
        <v>80</v>
      </c>
      <c r="C70" s="71"/>
    </row>
    <row r="71" spans="1:3" x14ac:dyDescent="0.2">
      <c r="A71" s="70">
        <v>8.1</v>
      </c>
      <c r="B71" s="70" t="s">
        <v>24</v>
      </c>
      <c r="C71" s="71" t="s">
        <v>120</v>
      </c>
    </row>
    <row r="72" spans="1:3" ht="24" x14ac:dyDescent="0.2">
      <c r="A72" s="70">
        <v>8.1999999999999993</v>
      </c>
      <c r="B72" s="70" t="s">
        <v>21</v>
      </c>
      <c r="C72" s="71" t="s">
        <v>121</v>
      </c>
    </row>
    <row r="73" spans="1:3" ht="24" x14ac:dyDescent="0.2">
      <c r="A73" s="70">
        <v>8.3000000000000007</v>
      </c>
      <c r="B73" s="70" t="s">
        <v>27</v>
      </c>
      <c r="C73" s="71" t="s">
        <v>122</v>
      </c>
    </row>
    <row r="74" spans="1:3" ht="24" x14ac:dyDescent="0.2">
      <c r="A74" s="73">
        <v>8.4</v>
      </c>
      <c r="B74" s="70" t="s">
        <v>28</v>
      </c>
      <c r="C74" s="71" t="s">
        <v>123</v>
      </c>
    </row>
    <row r="75" spans="1:3" x14ac:dyDescent="0.2">
      <c r="A75" s="70"/>
      <c r="B75" s="70"/>
      <c r="C75" s="71"/>
    </row>
    <row r="76" spans="1:3" x14ac:dyDescent="0.2">
      <c r="A76" s="74">
        <v>9</v>
      </c>
      <c r="B76" s="74" t="s">
        <v>29</v>
      </c>
      <c r="C76" s="71"/>
    </row>
    <row r="77" spans="1:3" ht="24" x14ac:dyDescent="0.2">
      <c r="A77" s="73">
        <v>9.1</v>
      </c>
      <c r="B77" s="70" t="s">
        <v>200</v>
      </c>
      <c r="C77" s="71" t="s">
        <v>210</v>
      </c>
    </row>
    <row r="78" spans="1:3" ht="60" x14ac:dyDescent="0.2">
      <c r="A78" s="70">
        <v>9.1999999999999993</v>
      </c>
      <c r="B78" s="70" t="s">
        <v>31</v>
      </c>
      <c r="C78" s="71" t="s">
        <v>184</v>
      </c>
    </row>
    <row r="79" spans="1:3" ht="36" x14ac:dyDescent="0.2">
      <c r="A79" s="70">
        <v>9.3000000000000007</v>
      </c>
      <c r="B79" s="70" t="s">
        <v>30</v>
      </c>
      <c r="C79" s="71" t="s">
        <v>124</v>
      </c>
    </row>
  </sheetData>
  <sheetProtection algorithmName="SHA-512" hashValue="ae1VX42cHiWBMZifURPvq8GJ5ofyYIHelnnCqGq0LBNdobRKyph/nq7LGqfp4STqz0RiJ2LOOr2y74/qOaSYmg==" saltValue="dD6A0BYMBe1xi7mbD8GwoQ==" spinCount="100000" sheet="1" objects="1" scenarios="1"/>
  <mergeCells count="8">
    <mergeCell ref="B26:C26"/>
    <mergeCell ref="B27:C27"/>
    <mergeCell ref="B4:C4"/>
    <mergeCell ref="B16:C16"/>
    <mergeCell ref="B18:C18"/>
    <mergeCell ref="B20:C20"/>
    <mergeCell ref="B24:C24"/>
    <mergeCell ref="B25:C25"/>
  </mergeCells>
  <phoneticPr fontId="4" type="noConversion"/>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54"/>
  <sheetViews>
    <sheetView showGridLines="0" showRowColHeaders="0" workbookViewId="0">
      <selection activeCell="C10" sqref="C10"/>
    </sheetView>
  </sheetViews>
  <sheetFormatPr baseColWidth="10" defaultColWidth="11.42578125" defaultRowHeight="12" x14ac:dyDescent="0.2"/>
  <cols>
    <col min="1" max="1" width="4.140625" style="3" customWidth="1"/>
    <col min="2" max="2" width="38.5703125" style="3" customWidth="1"/>
    <col min="3" max="3" width="11" style="3" customWidth="1"/>
    <col min="4" max="4" width="29.7109375" style="3" customWidth="1"/>
    <col min="5" max="5" width="2.85546875" style="3" customWidth="1"/>
    <col min="6" max="16384" width="11.42578125" style="3"/>
  </cols>
  <sheetData>
    <row r="2" spans="2:4" ht="18" x14ac:dyDescent="0.25">
      <c r="B2" s="39" t="s">
        <v>155</v>
      </c>
      <c r="C2" s="39"/>
      <c r="D2" s="38"/>
    </row>
    <row r="3" spans="2:4" x14ac:dyDescent="0.2">
      <c r="B3" s="11"/>
      <c r="C3" s="11"/>
      <c r="D3" s="38"/>
    </row>
    <row r="4" spans="2:4" ht="38.25" customHeight="1" x14ac:dyDescent="0.2">
      <c r="B4" s="118" t="s">
        <v>185</v>
      </c>
      <c r="C4" s="118"/>
      <c r="D4" s="119"/>
    </row>
    <row r="5" spans="2:4" x14ac:dyDescent="0.2">
      <c r="B5" s="11"/>
      <c r="C5" s="11"/>
      <c r="D5" s="38"/>
    </row>
    <row r="6" spans="2:4" ht="12" customHeight="1" x14ac:dyDescent="0.2"/>
    <row r="7" spans="2:4" ht="12" customHeight="1" x14ac:dyDescent="0.2"/>
    <row r="8" spans="2:4" ht="12" customHeight="1" x14ac:dyDescent="0.2">
      <c r="B8" s="11" t="s">
        <v>56</v>
      </c>
    </row>
    <row r="9" spans="2:4" ht="12" customHeight="1" x14ac:dyDescent="0.2"/>
    <row r="10" spans="2:4" ht="12" customHeight="1" x14ac:dyDescent="0.2">
      <c r="B10" s="75" t="s">
        <v>57</v>
      </c>
      <c r="C10" s="76">
        <f>Berechnung!J140</f>
        <v>25.157500000000002</v>
      </c>
      <c r="D10" s="75" t="s">
        <v>158</v>
      </c>
    </row>
    <row r="11" spans="2:4" ht="12" customHeight="1" x14ac:dyDescent="0.2">
      <c r="B11" s="72" t="s">
        <v>156</v>
      </c>
      <c r="C11" s="77">
        <f>Berechnung!J144</f>
        <v>11.3575</v>
      </c>
      <c r="D11" s="72" t="s">
        <v>158</v>
      </c>
    </row>
    <row r="12" spans="2:4" ht="12" customHeight="1" x14ac:dyDescent="0.2">
      <c r="B12" s="72" t="s">
        <v>157</v>
      </c>
      <c r="C12" s="77">
        <f>Berechnung!J145</f>
        <v>15.177499999999998</v>
      </c>
      <c r="D12" s="72" t="s">
        <v>158</v>
      </c>
    </row>
    <row r="13" spans="2:4" ht="12" customHeight="1" x14ac:dyDescent="0.2">
      <c r="B13" s="72" t="s">
        <v>49</v>
      </c>
      <c r="C13" s="77">
        <f>Berechnung!J141</f>
        <v>4.4625000000000004</v>
      </c>
      <c r="D13" s="72" t="s">
        <v>158</v>
      </c>
    </row>
    <row r="14" spans="2:4" ht="12" customHeight="1" x14ac:dyDescent="0.2">
      <c r="B14" s="72" t="s">
        <v>50</v>
      </c>
      <c r="C14" s="77">
        <f>Berechnung!J142</f>
        <v>9.9700000000000006</v>
      </c>
      <c r="D14" s="72" t="s">
        <v>158</v>
      </c>
    </row>
    <row r="15" spans="2:4" ht="12" customHeight="1" x14ac:dyDescent="0.2">
      <c r="B15" s="78" t="s">
        <v>51</v>
      </c>
      <c r="C15" s="79">
        <f>Berechnung!J143</f>
        <v>6.5575000000000001</v>
      </c>
      <c r="D15" s="78" t="s">
        <v>158</v>
      </c>
    </row>
    <row r="16" spans="2:4" ht="12" customHeight="1" x14ac:dyDescent="0.2">
      <c r="C16" s="53"/>
    </row>
    <row r="17" spans="2:3" ht="12" customHeight="1" x14ac:dyDescent="0.2">
      <c r="C17" s="53"/>
    </row>
    <row r="18" spans="2:3" ht="12" customHeight="1" x14ac:dyDescent="0.2">
      <c r="C18" s="53"/>
    </row>
    <row r="19" spans="2:3" ht="12" customHeight="1" x14ac:dyDescent="0.2">
      <c r="B19" s="11" t="s">
        <v>26</v>
      </c>
      <c r="C19" s="54">
        <f>Berechnung!C83</f>
        <v>1.4375000000000001E-2</v>
      </c>
    </row>
    <row r="20" spans="2:3" ht="12" customHeight="1" x14ac:dyDescent="0.2"/>
    <row r="21" spans="2:3" ht="12" customHeight="1" x14ac:dyDescent="0.2"/>
    <row r="22" spans="2:3" ht="12" customHeight="1" x14ac:dyDescent="0.2"/>
    <row r="23" spans="2:3" ht="12" customHeight="1" x14ac:dyDescent="0.2"/>
    <row r="24" spans="2:3" ht="12" customHeight="1" x14ac:dyDescent="0.2"/>
    <row r="25" spans="2:3" ht="12" customHeight="1" x14ac:dyDescent="0.2"/>
    <row r="26" spans="2:3" ht="12" customHeight="1" x14ac:dyDescent="0.2"/>
    <row r="27" spans="2:3" ht="12" customHeight="1" x14ac:dyDescent="0.2"/>
    <row r="28" spans="2:3" ht="12" customHeight="1" x14ac:dyDescent="0.2"/>
    <row r="29" spans="2:3" ht="12" customHeight="1" x14ac:dyDescent="0.2"/>
    <row r="30" spans="2:3" ht="12" customHeight="1" x14ac:dyDescent="0.2"/>
    <row r="31" spans="2:3" ht="12" customHeight="1" x14ac:dyDescent="0.2"/>
    <row r="32" spans="2:3"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sheetData>
  <sheetProtection password="C18A" sheet="1" objects="1" scenarios="1"/>
  <mergeCells count="1">
    <mergeCell ref="B4:D4"/>
  </mergeCells>
  <phoneticPr fontId="4"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Berechnung</vt:lpstr>
      <vt:lpstr>§22 EnergieV</vt:lpstr>
      <vt:lpstr>Wegleitung</vt:lpstr>
      <vt:lpstr>Energiepreise</vt:lpstr>
      <vt:lpstr>'§22 EnergieV'!_Toc327969523</vt:lpstr>
      <vt:lpstr>'§22 EnergieV'!Druckbereich</vt:lpstr>
      <vt:lpstr>Berechnung!Druckbereich</vt:lpstr>
      <vt:lpstr>Wegleitung!Druckbereich</vt:lpstr>
      <vt:lpstr>'§22 EnergieV'!OLE_LINK1</vt:lpstr>
    </vt:vector>
  </TitlesOfParts>
  <Company>Kanton Aargau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Arnold Felix  BVUAE</dc:creator>
  <cp:lastModifiedBy>Arnold Felix  BVUAE</cp:lastModifiedBy>
  <cp:lastPrinted>2026-04-30T07:17:20Z</cp:lastPrinted>
  <dcterms:created xsi:type="dcterms:W3CDTF">2012-08-07T11:37:40Z</dcterms:created>
  <dcterms:modified xsi:type="dcterms:W3CDTF">2026-04-30T07:17:54Z</dcterms:modified>
  <cp:contentStatus/>
</cp:coreProperties>
</file>